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defaultThemeVersion="124226"/>
  <bookViews>
    <workbookView xWindow="30" yWindow="-45" windowWidth="15240" windowHeight="8070" activeTab="1"/>
  </bookViews>
  <sheets>
    <sheet name="Cost Report Codes" sheetId="16" r:id="rId1"/>
    <sheet name="FY 2012" sheetId="15" r:id="rId2"/>
    <sheet name="FY 2011" sheetId="14" state="hidden" r:id="rId3"/>
    <sheet name="FY 2010" sheetId="13" state="hidden" r:id="rId4"/>
    <sheet name="FY 2009" sheetId="7" state="hidden" r:id="rId5"/>
    <sheet name="FY 2008" sheetId="5" state="hidden" r:id="rId6"/>
    <sheet name="FY 2007" sheetId="4" state="hidden" r:id="rId7"/>
    <sheet name="FY 2006" sheetId="2" state="hidden" r:id="rId8"/>
    <sheet name="FY 2005" sheetId="1" state="hidden" r:id="rId9"/>
  </sheets>
  <definedNames>
    <definedName name="_xlnm.Print_Area" localSheetId="6">'FY 2007'!$A$2:$AA$33</definedName>
    <definedName name="_xlnm.Print_Area" localSheetId="5">'FY 2008'!$A$2:$AA$32</definedName>
    <definedName name="_xlnm.Print_Area" localSheetId="4">'FY 2009'!$A$2:$AA$32</definedName>
    <definedName name="_xlnm.Print_Area" localSheetId="3">'FY 2010'!$A$2:$AA$27</definedName>
    <definedName name="_xlnm.Print_Area" localSheetId="2">'FY 2011'!$A$2:$AA$28</definedName>
    <definedName name="_xlnm.Print_Area" localSheetId="1">'FY 2012'!$A$1:$AA$34</definedName>
  </definedNames>
  <calcPr calcId="144525"/>
</workbook>
</file>

<file path=xl/calcChain.xml><?xml version="1.0" encoding="utf-8"?>
<calcChain xmlns="http://schemas.openxmlformats.org/spreadsheetml/2006/main">
  <c r="Z13" i="15" l="1"/>
  <c r="Z14" i="15"/>
  <c r="Z15" i="15"/>
  <c r="Z16" i="15"/>
  <c r="Z17" i="15"/>
  <c r="AA14" i="15"/>
  <c r="AA15" i="15"/>
  <c r="AA16" i="15"/>
  <c r="AA17" i="15"/>
  <c r="AA13" i="15"/>
  <c r="D20" i="15"/>
  <c r="E20" i="15"/>
  <c r="E23" i="15" s="1"/>
  <c r="C20" i="15"/>
  <c r="C23" i="15" s="1"/>
  <c r="X20" i="15"/>
  <c r="Y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B20" i="15"/>
  <c r="AA18" i="15"/>
  <c r="AA19" i="15"/>
  <c r="Z18" i="15"/>
  <c r="Z19" i="15"/>
  <c r="AA22" i="15"/>
  <c r="Z7" i="15"/>
  <c r="S23" i="15" l="1"/>
  <c r="K23" i="15"/>
  <c r="U23" i="15"/>
  <c r="M23" i="15"/>
  <c r="W23" i="15"/>
  <c r="O23" i="15"/>
  <c r="G23" i="15"/>
  <c r="Y23" i="15"/>
  <c r="Q23" i="15"/>
  <c r="I23" i="15"/>
  <c r="Z20" i="15"/>
  <c r="Y10" i="15"/>
  <c r="Y26" i="15" s="1"/>
  <c r="W10" i="15"/>
  <c r="W26" i="15" s="1"/>
  <c r="U10" i="15"/>
  <c r="U26" i="15" s="1"/>
  <c r="S10" i="15"/>
  <c r="S26" i="15" s="1"/>
  <c r="Q10" i="15"/>
  <c r="Q26" i="15" s="1"/>
  <c r="O10" i="15"/>
  <c r="O26" i="15" s="1"/>
  <c r="M10" i="15"/>
  <c r="M26" i="15" s="1"/>
  <c r="K10" i="15"/>
  <c r="K26" i="15" s="1"/>
  <c r="I10" i="15"/>
  <c r="I26" i="15" s="1"/>
  <c r="G10" i="15"/>
  <c r="G26" i="15" s="1"/>
  <c r="E10" i="15"/>
  <c r="E26" i="15" s="1"/>
  <c r="C10" i="15"/>
  <c r="C26" i="15" s="1"/>
  <c r="AA9" i="15"/>
  <c r="AA8" i="15"/>
  <c r="Z8" i="14"/>
  <c r="Z9" i="14"/>
  <c r="K11" i="14"/>
  <c r="J11" i="14"/>
  <c r="I11" i="14"/>
  <c r="H11" i="14"/>
  <c r="G11" i="14"/>
  <c r="F11" i="14"/>
  <c r="G10" i="14"/>
  <c r="I10" i="14"/>
  <c r="K10" i="14"/>
  <c r="K12" i="14" s="1"/>
  <c r="K14" i="14" s="1"/>
  <c r="M10" i="14"/>
  <c r="M12" i="14" s="1"/>
  <c r="M14" i="14" s="1"/>
  <c r="E11" i="14"/>
  <c r="D11" i="14"/>
  <c r="D23" i="14" s="1"/>
  <c r="E10" i="14"/>
  <c r="O10" i="14"/>
  <c r="O12" i="14" s="1"/>
  <c r="O14" i="14" s="1"/>
  <c r="Q10" i="14"/>
  <c r="Q12" i="14" s="1"/>
  <c r="Q14" i="14" s="1"/>
  <c r="S10" i="14"/>
  <c r="S12" i="14" s="1"/>
  <c r="U10" i="14"/>
  <c r="U12" i="14" s="1"/>
  <c r="U14" i="14" s="1"/>
  <c r="W10" i="14"/>
  <c r="W12" i="14" s="1"/>
  <c r="W14" i="14" s="1"/>
  <c r="Y10" i="14"/>
  <c r="Y12" i="14" s="1"/>
  <c r="Y14" i="14" s="1"/>
  <c r="C10" i="14"/>
  <c r="C11" i="14"/>
  <c r="B11" i="14"/>
  <c r="B23" i="14" s="1"/>
  <c r="AA23" i="14"/>
  <c r="P23" i="14"/>
  <c r="N23" i="14"/>
  <c r="L23" i="14"/>
  <c r="J23" i="14"/>
  <c r="H23" i="14"/>
  <c r="F23" i="14"/>
  <c r="Z19" i="14"/>
  <c r="Y19" i="14"/>
  <c r="W19" i="14"/>
  <c r="U19" i="14"/>
  <c r="S19" i="14"/>
  <c r="Q19" i="14"/>
  <c r="O19" i="14"/>
  <c r="M19" i="14"/>
  <c r="K19" i="14"/>
  <c r="I19" i="14"/>
  <c r="G19" i="14"/>
  <c r="E19" i="14"/>
  <c r="C19" i="14"/>
  <c r="AA18" i="14"/>
  <c r="AA17" i="14"/>
  <c r="AA13" i="14"/>
  <c r="X23" i="14"/>
  <c r="V23" i="14"/>
  <c r="T23" i="14"/>
  <c r="R23" i="14"/>
  <c r="AA9" i="14"/>
  <c r="AA8" i="14"/>
  <c r="Y10" i="13"/>
  <c r="X10" i="13"/>
  <c r="X22" i="13" s="1"/>
  <c r="W10" i="13"/>
  <c r="W11" i="13" s="1"/>
  <c r="W13" i="13" s="1"/>
  <c r="V10" i="13"/>
  <c r="V22" i="13" s="1"/>
  <c r="U10" i="13"/>
  <c r="U11" i="13" s="1"/>
  <c r="U13" i="13" s="1"/>
  <c r="T10" i="13"/>
  <c r="T22" i="13" s="1"/>
  <c r="S10" i="13"/>
  <c r="R10" i="13"/>
  <c r="R22" i="13" s="1"/>
  <c r="P22" i="13"/>
  <c r="N22" i="13"/>
  <c r="L22" i="13"/>
  <c r="J22" i="13"/>
  <c r="H22" i="13"/>
  <c r="F22" i="13"/>
  <c r="D22" i="13"/>
  <c r="B22" i="13"/>
  <c r="S11" i="13"/>
  <c r="S13" i="13" s="1"/>
  <c r="Q11" i="13"/>
  <c r="O11" i="13"/>
  <c r="O13" i="13" s="1"/>
  <c r="M11" i="13"/>
  <c r="M13" i="13" s="1"/>
  <c r="K11" i="13"/>
  <c r="K13" i="13" s="1"/>
  <c r="I11" i="13"/>
  <c r="Y11" i="13"/>
  <c r="Y13" i="13" s="1"/>
  <c r="G11" i="13"/>
  <c r="G13" i="13" s="1"/>
  <c r="E11" i="13"/>
  <c r="C11" i="13"/>
  <c r="C13" i="13" s="1"/>
  <c r="AA22" i="13"/>
  <c r="Z18" i="13"/>
  <c r="Y18" i="13"/>
  <c r="W18" i="13"/>
  <c r="U18" i="13"/>
  <c r="S18" i="13"/>
  <c r="Q18" i="13"/>
  <c r="O18" i="13"/>
  <c r="M18" i="13"/>
  <c r="K18" i="13"/>
  <c r="I18" i="13"/>
  <c r="G18" i="13"/>
  <c r="E18" i="13"/>
  <c r="C18" i="13"/>
  <c r="AA17" i="13"/>
  <c r="AA16" i="13"/>
  <c r="AA12" i="13"/>
  <c r="Q13" i="13"/>
  <c r="I13" i="13"/>
  <c r="I20" i="13" s="1"/>
  <c r="I23" i="13" s="1"/>
  <c r="E13" i="13"/>
  <c r="AA9" i="13"/>
  <c r="Z9" i="13"/>
  <c r="AA8" i="13"/>
  <c r="Z8" i="13"/>
  <c r="Y18" i="7"/>
  <c r="Z8" i="7"/>
  <c r="O8" i="7"/>
  <c r="AA8" i="7"/>
  <c r="W18" i="7"/>
  <c r="U11" i="7"/>
  <c r="U13" i="7" s="1"/>
  <c r="U20" i="7" s="1"/>
  <c r="U28" i="7" s="1"/>
  <c r="U18" i="7"/>
  <c r="E10" i="7"/>
  <c r="G10" i="7"/>
  <c r="I10" i="7"/>
  <c r="K10" i="7"/>
  <c r="M10" i="7"/>
  <c r="O10" i="7"/>
  <c r="Q10" i="7"/>
  <c r="S10" i="7"/>
  <c r="S18" i="7"/>
  <c r="X27" i="7"/>
  <c r="V27" i="7"/>
  <c r="T27" i="7"/>
  <c r="R10" i="7"/>
  <c r="R27" i="7" s="1"/>
  <c r="P10" i="7"/>
  <c r="P27" i="7" s="1"/>
  <c r="Q18" i="7"/>
  <c r="O18" i="7"/>
  <c r="N10" i="7"/>
  <c r="N27" i="7" s="1"/>
  <c r="M18" i="7"/>
  <c r="L10" i="7"/>
  <c r="K18" i="7"/>
  <c r="J10" i="7"/>
  <c r="H10" i="7"/>
  <c r="I18" i="7"/>
  <c r="D25" i="4"/>
  <c r="F25" i="4"/>
  <c r="H25" i="4"/>
  <c r="J25" i="4"/>
  <c r="L25" i="4"/>
  <c r="N25" i="4"/>
  <c r="P25" i="4"/>
  <c r="R25" i="4"/>
  <c r="T25" i="4"/>
  <c r="V25" i="4"/>
  <c r="X25" i="4"/>
  <c r="B25" i="4"/>
  <c r="R25" i="5"/>
  <c r="T25" i="5"/>
  <c r="V25" i="5"/>
  <c r="X25" i="5"/>
  <c r="J25" i="7"/>
  <c r="L25" i="7"/>
  <c r="Z7" i="7"/>
  <c r="Z24" i="7"/>
  <c r="Z25" i="7" s="1"/>
  <c r="H25" i="7"/>
  <c r="F25" i="7"/>
  <c r="D25" i="7"/>
  <c r="B25" i="7"/>
  <c r="Z18" i="7"/>
  <c r="G18" i="7"/>
  <c r="G11" i="7"/>
  <c r="F10" i="7"/>
  <c r="D10" i="7"/>
  <c r="E18" i="7"/>
  <c r="C18" i="7"/>
  <c r="AA7" i="7"/>
  <c r="Z9" i="7"/>
  <c r="AA9" i="7"/>
  <c r="Z10" i="7"/>
  <c r="C11" i="7"/>
  <c r="E11" i="7"/>
  <c r="I11" i="7"/>
  <c r="K11" i="7"/>
  <c r="K13" i="7" s="1"/>
  <c r="M11" i="7"/>
  <c r="O11" i="7"/>
  <c r="O13" i="7" s="1"/>
  <c r="O20" i="7" s="1"/>
  <c r="O28" i="7" s="1"/>
  <c r="Q11" i="7"/>
  <c r="S11" i="7"/>
  <c r="W11" i="7"/>
  <c r="Y11" i="7"/>
  <c r="Y13" i="7" s="1"/>
  <c r="Y20" i="7" s="1"/>
  <c r="Y28" i="7" s="1"/>
  <c r="AA12" i="7"/>
  <c r="C13" i="7"/>
  <c r="E13" i="7"/>
  <c r="G13" i="7"/>
  <c r="G20" i="7" s="1"/>
  <c r="G28" i="7" s="1"/>
  <c r="I13" i="7"/>
  <c r="M13" i="7"/>
  <c r="Q13" i="7"/>
  <c r="S13" i="7"/>
  <c r="S20" i="7" s="1"/>
  <c r="S28" i="7" s="1"/>
  <c r="W13" i="7"/>
  <c r="AA16" i="7"/>
  <c r="AA17" i="7"/>
  <c r="AA18" i="7"/>
  <c r="C20" i="7"/>
  <c r="E20" i="7"/>
  <c r="I20" i="7"/>
  <c r="I28" i="7" s="1"/>
  <c r="M20" i="7"/>
  <c r="Q20" i="7"/>
  <c r="W20" i="7"/>
  <c r="W28" i="7" s="1"/>
  <c r="B27" i="7"/>
  <c r="D27" i="7"/>
  <c r="F27" i="7"/>
  <c r="H27" i="7"/>
  <c r="J27" i="7"/>
  <c r="L27" i="7"/>
  <c r="AA27" i="7"/>
  <c r="C28" i="7"/>
  <c r="E28" i="7"/>
  <c r="M28" i="7"/>
  <c r="Q28" i="7"/>
  <c r="W10" i="5"/>
  <c r="V10" i="5"/>
  <c r="U10" i="5"/>
  <c r="AA9" i="5"/>
  <c r="AA8" i="5"/>
  <c r="V27" i="5"/>
  <c r="Y10" i="5"/>
  <c r="X10" i="5"/>
  <c r="Y18" i="5"/>
  <c r="W18" i="5"/>
  <c r="U18" i="5"/>
  <c r="T10" i="5"/>
  <c r="T27" i="5"/>
  <c r="S18" i="5"/>
  <c r="S10" i="5"/>
  <c r="R10" i="5"/>
  <c r="R27" i="5"/>
  <c r="P25" i="5"/>
  <c r="Q10" i="5"/>
  <c r="P10" i="5"/>
  <c r="Q18" i="5"/>
  <c r="N25" i="5"/>
  <c r="O18" i="5"/>
  <c r="O10" i="5"/>
  <c r="N10" i="5"/>
  <c r="Z8" i="5"/>
  <c r="Z24" i="5"/>
  <c r="Z25" i="5" s="1"/>
  <c r="J25" i="5"/>
  <c r="H25" i="5"/>
  <c r="L25" i="5"/>
  <c r="F25" i="5"/>
  <c r="D25" i="5"/>
  <c r="B25" i="5"/>
  <c r="M18" i="5"/>
  <c r="M10" i="5"/>
  <c r="L10" i="5"/>
  <c r="K10" i="5"/>
  <c r="J27" i="5"/>
  <c r="H10" i="5"/>
  <c r="I10" i="5"/>
  <c r="K18" i="5"/>
  <c r="C10" i="5"/>
  <c r="AA10" i="5" s="1"/>
  <c r="E10" i="5"/>
  <c r="G10" i="5"/>
  <c r="I18" i="5"/>
  <c r="G18" i="5"/>
  <c r="F10" i="5"/>
  <c r="D10" i="5"/>
  <c r="Z18" i="5"/>
  <c r="E18" i="5"/>
  <c r="C18" i="5"/>
  <c r="B10" i="5"/>
  <c r="Z10" i="5" s="1"/>
  <c r="Z9" i="5"/>
  <c r="C11" i="5"/>
  <c r="E11" i="5"/>
  <c r="AA11" i="5" s="1"/>
  <c r="G11" i="5"/>
  <c r="G13" i="5" s="1"/>
  <c r="I11" i="5"/>
  <c r="K11" i="5"/>
  <c r="M11" i="5"/>
  <c r="O11" i="5"/>
  <c r="O13" i="5" s="1"/>
  <c r="O20" i="5" s="1"/>
  <c r="O28" i="5" s="1"/>
  <c r="Q11" i="5"/>
  <c r="S11" i="5"/>
  <c r="U11" i="5"/>
  <c r="W11" i="5"/>
  <c r="W13" i="5" s="1"/>
  <c r="W20" i="5" s="1"/>
  <c r="W28" i="5" s="1"/>
  <c r="Y11" i="5"/>
  <c r="AA12" i="5"/>
  <c r="C13" i="5"/>
  <c r="E13" i="5"/>
  <c r="I13" i="5"/>
  <c r="I20" i="5" s="1"/>
  <c r="I28" i="5" s="1"/>
  <c r="K13" i="5"/>
  <c r="K20" i="5" s="1"/>
  <c r="K28" i="5" s="1"/>
  <c r="M13" i="5"/>
  <c r="Q13" i="5"/>
  <c r="S13" i="5"/>
  <c r="U13" i="5"/>
  <c r="Y13" i="5"/>
  <c r="AA16" i="5"/>
  <c r="AA17" i="5"/>
  <c r="AA18" i="5"/>
  <c r="C20" i="5"/>
  <c r="C28" i="5" s="1"/>
  <c r="E20" i="5"/>
  <c r="M20" i="5"/>
  <c r="M28" i="5" s="1"/>
  <c r="Q20" i="5"/>
  <c r="S20" i="5"/>
  <c r="S28" i="5" s="1"/>
  <c r="U20" i="5"/>
  <c r="Y20" i="5"/>
  <c r="Y28" i="5" s="1"/>
  <c r="B27" i="5"/>
  <c r="D27" i="5"/>
  <c r="F27" i="5"/>
  <c r="H27" i="5"/>
  <c r="L27" i="5"/>
  <c r="N27" i="5"/>
  <c r="P27" i="5"/>
  <c r="X27" i="5"/>
  <c r="AA27" i="5"/>
  <c r="E28" i="5"/>
  <c r="Q28" i="5"/>
  <c r="U28" i="5"/>
  <c r="Y10" i="4"/>
  <c r="X10" i="4"/>
  <c r="V10" i="4"/>
  <c r="W10" i="4"/>
  <c r="V27" i="4"/>
  <c r="X27" i="4"/>
  <c r="U10" i="4"/>
  <c r="T10" i="4"/>
  <c r="S10" i="4"/>
  <c r="R10" i="4"/>
  <c r="P10" i="4"/>
  <c r="P27" i="4" s="1"/>
  <c r="AA27" i="4"/>
  <c r="R27" i="4"/>
  <c r="T27" i="4"/>
  <c r="Z9" i="4"/>
  <c r="Z8" i="4"/>
  <c r="Q10" i="4"/>
  <c r="Q11" i="4"/>
  <c r="Q13" i="4" s="1"/>
  <c r="Q20" i="4" s="1"/>
  <c r="Q28" i="4" s="1"/>
  <c r="Q18" i="4"/>
  <c r="S18" i="4"/>
  <c r="U18" i="4"/>
  <c r="W18" i="4"/>
  <c r="Y18" i="4"/>
  <c r="S11" i="4"/>
  <c r="S13" i="4" s="1"/>
  <c r="S20" i="4" s="1"/>
  <c r="S28" i="4" s="1"/>
  <c r="U11" i="4"/>
  <c r="U13" i="4"/>
  <c r="U20" i="4" s="1"/>
  <c r="U28" i="4" s="1"/>
  <c r="W11" i="4"/>
  <c r="W13" i="4"/>
  <c r="W20" i="4" s="1"/>
  <c r="W28" i="4" s="1"/>
  <c r="Y11" i="4"/>
  <c r="Y13" i="4"/>
  <c r="Y20" i="4" s="1"/>
  <c r="Y28" i="4" s="1"/>
  <c r="AA17" i="4"/>
  <c r="AA16" i="4"/>
  <c r="AA12" i="4"/>
  <c r="Z18" i="4"/>
  <c r="N10" i="4"/>
  <c r="N27" i="4"/>
  <c r="O10" i="4"/>
  <c r="O11" i="4" s="1"/>
  <c r="O13" i="4" s="1"/>
  <c r="O20" i="4" s="1"/>
  <c r="O28" i="4" s="1"/>
  <c r="M10" i="4"/>
  <c r="M11" i="4" s="1"/>
  <c r="L10" i="4"/>
  <c r="J10" i="4"/>
  <c r="K10" i="4"/>
  <c r="I10" i="4"/>
  <c r="I11" i="4"/>
  <c r="I13" i="4"/>
  <c r="I20" i="4" s="1"/>
  <c r="I28" i="4" s="1"/>
  <c r="H10" i="4"/>
  <c r="F10" i="4"/>
  <c r="Z10" i="4"/>
  <c r="G10" i="4"/>
  <c r="D27" i="4"/>
  <c r="B27" i="4"/>
  <c r="C18" i="4"/>
  <c r="E18" i="4"/>
  <c r="AA18" i="4" s="1"/>
  <c r="G18" i="4"/>
  <c r="I18" i="4"/>
  <c r="K18" i="4"/>
  <c r="M18" i="4"/>
  <c r="O18" i="4"/>
  <c r="E11" i="4"/>
  <c r="E13" i="4"/>
  <c r="E20" i="4"/>
  <c r="E28" i="4"/>
  <c r="G11" i="4"/>
  <c r="G13" i="4"/>
  <c r="C11" i="4"/>
  <c r="C13" i="4" s="1"/>
  <c r="K11" i="4"/>
  <c r="K13" i="4"/>
  <c r="N8" i="2"/>
  <c r="N9" i="2"/>
  <c r="B10" i="2"/>
  <c r="D10" i="2"/>
  <c r="F10" i="2"/>
  <c r="N10" i="2" s="1"/>
  <c r="J10" i="2"/>
  <c r="K10" i="2"/>
  <c r="B12" i="2"/>
  <c r="C12" i="2"/>
  <c r="D12" i="2"/>
  <c r="E12" i="2"/>
  <c r="F12" i="2"/>
  <c r="G12" i="2"/>
  <c r="B18" i="2"/>
  <c r="C18" i="2"/>
  <c r="D18" i="2"/>
  <c r="E18" i="2"/>
  <c r="F18" i="2"/>
  <c r="G18" i="2"/>
  <c r="H18" i="2"/>
  <c r="I18" i="2"/>
  <c r="J18" i="2"/>
  <c r="K18" i="2"/>
  <c r="L18" i="2"/>
  <c r="M18" i="2"/>
  <c r="N17" i="2"/>
  <c r="N16" i="2"/>
  <c r="G20" i="4"/>
  <c r="G28" i="4"/>
  <c r="K20" i="4"/>
  <c r="K28" i="4" s="1"/>
  <c r="AA9" i="4"/>
  <c r="AA10" i="4"/>
  <c r="AA8" i="4"/>
  <c r="F27" i="4"/>
  <c r="Z27" i="4" s="1"/>
  <c r="H27" i="4"/>
  <c r="J27" i="4"/>
  <c r="L27" i="4"/>
  <c r="Z24" i="4"/>
  <c r="Z25" i="4" s="1"/>
  <c r="G8" i="1"/>
  <c r="G15" i="1"/>
  <c r="G13" i="1"/>
  <c r="F8" i="1"/>
  <c r="F13" i="1"/>
  <c r="F15" i="1"/>
  <c r="E8" i="1"/>
  <c r="E15" i="1" s="1"/>
  <c r="E13" i="1"/>
  <c r="B7" i="1"/>
  <c r="B8" i="1" s="1"/>
  <c r="B13" i="1"/>
  <c r="C7" i="1"/>
  <c r="C8" i="1" s="1"/>
  <c r="C15" i="1" s="1"/>
  <c r="C13" i="1"/>
  <c r="D7" i="1"/>
  <c r="D8" i="1" s="1"/>
  <c r="D13" i="1"/>
  <c r="H12" i="1"/>
  <c r="O17" i="2" s="1"/>
  <c r="P17" i="2" s="1"/>
  <c r="AB17" i="4" s="1"/>
  <c r="AC17" i="4" s="1"/>
  <c r="H11" i="1"/>
  <c r="O16" i="2" s="1"/>
  <c r="P16" i="2" s="1"/>
  <c r="AB16" i="4" s="1"/>
  <c r="AC16" i="4" s="1"/>
  <c r="H7" i="1"/>
  <c r="O12" i="2" s="1"/>
  <c r="H6" i="1"/>
  <c r="O11" i="2"/>
  <c r="C11" i="2"/>
  <c r="D11" i="2"/>
  <c r="E11" i="2"/>
  <c r="F11" i="2"/>
  <c r="G11" i="2"/>
  <c r="H11" i="2"/>
  <c r="I11" i="2"/>
  <c r="J11" i="2"/>
  <c r="K11" i="2"/>
  <c r="L11" i="2"/>
  <c r="M11" i="2"/>
  <c r="B11" i="2"/>
  <c r="B13" i="2" s="1"/>
  <c r="C13" i="2"/>
  <c r="C20" i="2"/>
  <c r="D13" i="2"/>
  <c r="D20" i="2" s="1"/>
  <c r="E13" i="2"/>
  <c r="F13" i="2"/>
  <c r="F20" i="2"/>
  <c r="G13" i="2"/>
  <c r="H13" i="2"/>
  <c r="H20" i="2" s="1"/>
  <c r="I13" i="2"/>
  <c r="I20" i="2" s="1"/>
  <c r="J13" i="2"/>
  <c r="J20" i="2" s="1"/>
  <c r="K13" i="2"/>
  <c r="L13" i="2"/>
  <c r="L20" i="2" s="1"/>
  <c r="M13" i="2"/>
  <c r="E20" i="2"/>
  <c r="G20" i="2"/>
  <c r="K20" i="2"/>
  <c r="M20" i="2"/>
  <c r="Z27" i="5"/>
  <c r="AA13" i="5" l="1"/>
  <c r="AA20" i="5" s="1"/>
  <c r="AA28" i="5" s="1"/>
  <c r="G20" i="5"/>
  <c r="G28" i="5" s="1"/>
  <c r="AA11" i="4"/>
  <c r="M13" i="4"/>
  <c r="M20" i="4" s="1"/>
  <c r="M28" i="4" s="1"/>
  <c r="C20" i="4"/>
  <c r="C28" i="4" s="1"/>
  <c r="AA13" i="4"/>
  <c r="AA20" i="4" s="1"/>
  <c r="AA28" i="4" s="1"/>
  <c r="D15" i="1"/>
  <c r="AA11" i="7"/>
  <c r="N18" i="2"/>
  <c r="G20" i="13"/>
  <c r="G23" i="13" s="1"/>
  <c r="C12" i="14"/>
  <c r="N12" i="2"/>
  <c r="AA10" i="7"/>
  <c r="Y20" i="13"/>
  <c r="Y23" i="13" s="1"/>
  <c r="H13" i="1"/>
  <c r="O18" i="2" s="1"/>
  <c r="N11" i="2"/>
  <c r="Z27" i="7"/>
  <c r="E20" i="13"/>
  <c r="E23" i="13" s="1"/>
  <c r="C20" i="13"/>
  <c r="C23" i="13" s="1"/>
  <c r="E12" i="14"/>
  <c r="E14" i="14" s="1"/>
  <c r="K20" i="7"/>
  <c r="K28" i="7" s="1"/>
  <c r="AA13" i="7"/>
  <c r="AA20" i="7" s="1"/>
  <c r="AA28" i="7" s="1"/>
  <c r="Z10" i="13"/>
  <c r="O20" i="13"/>
  <c r="O23" i="13" s="1"/>
  <c r="AA10" i="13"/>
  <c r="W20" i="13"/>
  <c r="W23" i="13" s="1"/>
  <c r="M20" i="13"/>
  <c r="M23" i="13" s="1"/>
  <c r="B20" i="2"/>
  <c r="N20" i="2" s="1"/>
  <c r="N13" i="2"/>
  <c r="P18" i="2"/>
  <c r="AB18" i="4" s="1"/>
  <c r="AC18" i="4" s="1"/>
  <c r="P11" i="2"/>
  <c r="AB11" i="4" s="1"/>
  <c r="P12" i="2"/>
  <c r="AB12" i="4" s="1"/>
  <c r="AC12" i="4" s="1"/>
  <c r="H8" i="1"/>
  <c r="O13" i="2" s="1"/>
  <c r="P13" i="2" s="1"/>
  <c r="B15" i="1"/>
  <c r="H15" i="1" s="1"/>
  <c r="C14" i="14"/>
  <c r="Z11" i="14"/>
  <c r="AA20" i="15"/>
  <c r="AA10" i="15"/>
  <c r="Y21" i="14"/>
  <c r="Y24" i="14" s="1"/>
  <c r="W21" i="14"/>
  <c r="W24" i="14" s="1"/>
  <c r="U21" i="14"/>
  <c r="U24" i="14" s="1"/>
  <c r="AA11" i="14"/>
  <c r="I12" i="14"/>
  <c r="I14" i="14" s="1"/>
  <c r="G12" i="14"/>
  <c r="G14" i="14" s="1"/>
  <c r="G21" i="14" s="1"/>
  <c r="G24" i="14" s="1"/>
  <c r="AA10" i="14"/>
  <c r="E21" i="14"/>
  <c r="E24" i="14" s="1"/>
  <c r="I21" i="14"/>
  <c r="I24" i="14" s="1"/>
  <c r="M21" i="14"/>
  <c r="M24" i="14" s="1"/>
  <c r="Q21" i="14"/>
  <c r="Q24" i="14" s="1"/>
  <c r="AA19" i="14"/>
  <c r="K21" i="14"/>
  <c r="K24" i="14" s="1"/>
  <c r="O21" i="14"/>
  <c r="O24" i="14" s="1"/>
  <c r="C21" i="14"/>
  <c r="C24" i="14" s="1"/>
  <c r="Z23" i="14"/>
  <c r="S14" i="14"/>
  <c r="S21" i="14" s="1"/>
  <c r="S24" i="14" s="1"/>
  <c r="U20" i="13"/>
  <c r="U23" i="13" s="1"/>
  <c r="S20" i="13"/>
  <c r="S23" i="13" s="1"/>
  <c r="Q20" i="13"/>
  <c r="Q23" i="13" s="1"/>
  <c r="AA11" i="13"/>
  <c r="AA18" i="13"/>
  <c r="Z22" i="13"/>
  <c r="AA13" i="13"/>
  <c r="K20" i="13"/>
  <c r="K23" i="13" s="1"/>
  <c r="AB13" i="4"/>
  <c r="AC11" i="4"/>
  <c r="O20" i="2" l="1"/>
  <c r="P20" i="2" s="1"/>
  <c r="H19" i="1"/>
  <c r="AA26" i="15"/>
  <c r="AA23" i="15"/>
  <c r="AA12" i="14"/>
  <c r="AA14" i="14"/>
  <c r="AA21" i="14" s="1"/>
  <c r="AA24" i="14" s="1"/>
  <c r="AA20" i="13"/>
  <c r="AA23" i="13" s="1"/>
  <c r="AC13" i="4"/>
  <c r="AB20" i="4"/>
  <c r="AC20" i="4" s="1"/>
</calcChain>
</file>

<file path=xl/comments1.xml><?xml version="1.0" encoding="utf-8"?>
<comments xmlns="http://schemas.openxmlformats.org/spreadsheetml/2006/main">
  <authors>
    <author>slisraelson</author>
    <author>kradair</author>
  </authors>
  <commentList>
    <comment ref="Y16" authorId="0">
      <text>
        <r>
          <rPr>
            <b/>
            <sz val="8"/>
            <color indexed="81"/>
            <rFont val="Tahoma"/>
            <family val="2"/>
          </rPr>
          <t>slisraelson:</t>
        </r>
        <r>
          <rPr>
            <sz val="8"/>
            <color indexed="81"/>
            <rFont val="Tahoma"/>
            <family val="2"/>
          </rPr>
          <t xml:space="preserve">
Did a lot of refunding this month.</t>
        </r>
      </text>
    </comment>
    <comment ref="N18" authorId="1">
      <text>
        <r>
          <rPr>
            <b/>
            <sz val="8"/>
            <color indexed="81"/>
            <rFont val="Tahoma"/>
            <family val="2"/>
          </rPr>
          <t>kradair:</t>
        </r>
        <r>
          <rPr>
            <sz val="8"/>
            <color indexed="81"/>
            <rFont val="Tahoma"/>
            <family val="2"/>
          </rPr>
          <t xml:space="preserve">
Increased fee due incorrect charges. Fees being refunded.</t>
        </r>
      </text>
    </comment>
  </commentList>
</comments>
</file>

<file path=xl/sharedStrings.xml><?xml version="1.0" encoding="utf-8"?>
<sst xmlns="http://schemas.openxmlformats.org/spreadsheetml/2006/main" count="385" uniqueCount="134">
  <si>
    <t>Gross savings</t>
  </si>
  <si>
    <t>Fees paid</t>
  </si>
  <si>
    <t>Total fees paid</t>
  </si>
  <si>
    <t>Net savings</t>
  </si>
  <si>
    <t>January</t>
  </si>
  <si>
    <t>February</t>
  </si>
  <si>
    <t>March</t>
  </si>
  <si>
    <t>April</t>
  </si>
  <si>
    <t>May</t>
  </si>
  <si>
    <t>June</t>
  </si>
  <si>
    <t>Total FY 2005</t>
  </si>
  <si>
    <t>Note:  Michelle Lyons-Brown and Jill Lewis at HSS are working on refining the "avoided travel agent fees" number.</t>
  </si>
  <si>
    <t>The $33,333 used is simply the estimate arrived at with Dwayne Peeples of $400,000 straightlined across 12 months.</t>
  </si>
  <si>
    <t>Calculated Savings for Medicaid Travel Resulting from State Travel Office</t>
  </si>
  <si>
    <t>Reduced fares per USTravel reports</t>
  </si>
  <si>
    <t>Avoided travel agent fees (see note)</t>
  </si>
  <si>
    <t>State $11 Jan - March / $1 April - June</t>
  </si>
  <si>
    <t xml:space="preserve">              Original projected savings</t>
  </si>
  <si>
    <r>
      <t xml:space="preserve">              </t>
    </r>
    <r>
      <rPr>
        <b/>
        <i/>
        <sz val="10"/>
        <rFont val="Arial"/>
        <family val="2"/>
      </rPr>
      <t>Calculated savings in excess of original projection</t>
    </r>
  </si>
  <si>
    <t xml:space="preserve">Note:  The $33,333 used is simply the estimate arrived at with Dwayne Peeples of $400,000 straightlined across 12 months. </t>
  </si>
  <si>
    <t xml:space="preserve">December </t>
  </si>
  <si>
    <t>July</t>
  </si>
  <si>
    <t>August</t>
  </si>
  <si>
    <t>September</t>
  </si>
  <si>
    <t>October</t>
  </si>
  <si>
    <t>November</t>
  </si>
  <si>
    <t>ITD Savings</t>
  </si>
  <si>
    <t>total for 6 months</t>
  </si>
  <si>
    <t>Plus FY 2005</t>
  </si>
  <si>
    <t>YTD</t>
  </si>
  <si>
    <t>Reported savings:</t>
  </si>
  <si>
    <t xml:space="preserve">    Rural air carrier contracts</t>
  </si>
  <si>
    <t xml:space="preserve">    Other</t>
  </si>
  <si>
    <t xml:space="preserve">   MCAAK fares</t>
  </si>
  <si>
    <t xml:space="preserve">State </t>
  </si>
  <si>
    <t>and FY 2006</t>
  </si>
  <si>
    <t>total for 18 months</t>
  </si>
  <si>
    <t>Total Spend</t>
  </si>
  <si>
    <t>#</t>
  </si>
  <si>
    <t xml:space="preserve">Other Lost Opportunity Documented with Managed Travel </t>
  </si>
  <si>
    <t>MCAAK Fare Not Available - S</t>
  </si>
  <si>
    <t>Reported Savings / Total Spend</t>
  </si>
  <si>
    <t xml:space="preserve">    Rural air carrier contracts (see note 1)</t>
  </si>
  <si>
    <t>Avoided travel agent fees (see note 2)</t>
  </si>
  <si>
    <t xml:space="preserve">Note 2:  The $33,333 used is simply the estimate arrived at with Dwayne Peeples of $400,000 straightlined across 12 months. </t>
  </si>
  <si>
    <t>Note 1:  Rural air carrier contract savings lowered by negative savings calculated when fare exceeded comparison basis fare.</t>
  </si>
  <si>
    <t>ITD Totals</t>
  </si>
  <si>
    <t>YTD Totals</t>
  </si>
  <si>
    <t>Net Savings / Total Spend</t>
  </si>
  <si>
    <t xml:space="preserve">Note 1:  The $33,333 used is simply the estimate arrived at with Dwayne Peeples of $400,000 straightlined across 12 months. </t>
  </si>
  <si>
    <t xml:space="preserve">MCAAK Fare Not Available </t>
  </si>
  <si>
    <t>MCAAK Fare Not Avail/MCAAK Savings</t>
  </si>
  <si>
    <t>Totals</t>
  </si>
  <si>
    <t>Calculated Savings for Medicaid Travel Office (MTO) FY09</t>
  </si>
  <si>
    <t>Calculated Savings for Medicaid Travel Office (MTO) FY10</t>
  </si>
  <si>
    <t>Calculated Savings for Medicaid Travel Resulting from E-Travel Office</t>
  </si>
  <si>
    <t>Calculated Savings for Medicaid Travel Office (MTO) FY11</t>
  </si>
  <si>
    <t xml:space="preserve">USTravel </t>
  </si>
  <si>
    <t>USTravel $14</t>
  </si>
  <si>
    <t>Total Negotiated Savings</t>
  </si>
  <si>
    <t>Managed Savings</t>
  </si>
  <si>
    <t>E-Travel Fees</t>
  </si>
  <si>
    <r>
      <t xml:space="preserve"> </t>
    </r>
    <r>
      <rPr>
        <sz val="10"/>
        <rFont val="Arial"/>
        <family val="2"/>
      </rPr>
      <t xml:space="preserve"> Number of Fees</t>
    </r>
  </si>
  <si>
    <t>Total Fees Paid</t>
  </si>
  <si>
    <t>Contract Savings</t>
  </si>
  <si>
    <t>Savings Calculated from Negotiated Contracts</t>
  </si>
  <si>
    <t>Calculated Savings for Medicaid Travel Office (MTO) FY12</t>
  </si>
  <si>
    <t>$</t>
  </si>
  <si>
    <t>CONTRACT SAVINGS</t>
  </si>
  <si>
    <t>This represents the air contract percent, which varies per carrier.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</si>
  <si>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</si>
  <si>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ERA (7H) contract fares - the contract fare paid compared to the lowest refundable fare.   </t>
    </r>
  </si>
  <si>
    <t xml:space="preserve">This represents only the preferred vendors on the ITB list. 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</si>
  <si>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</si>
  <si>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t xml:space="preserve">HC – HOTEL CONTRACT </t>
  </si>
  <si>
    <t>Hotels booked using a hotel contract discount (Preferred or WSCA) – the booked rate compared
to the federal per diem rate.</t>
  </si>
  <si>
    <t xml:space="preserve">CC – RENTAL CAR CONTRACT </t>
  </si>
  <si>
    <t>Cars booked using a car contract (Budget or WSCA) – the booked contract rate compared to
the same car type without the discount.</t>
  </si>
  <si>
    <t>MANAGED SAVINGS</t>
  </si>
  <si>
    <t>Tickets purchased with a group or meeting discount – the discount fare paid compared to
the same fare class (refundable or nonrefundable) without the discount.</t>
  </si>
  <si>
    <t>1 – E-CERT OR VOUCHER USED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</si>
  <si>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</si>
  <si>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</si>
  <si>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</si>
  <si>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</si>
  <si>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t xml:space="preserve">OTHER – REFLECTS TRANSACTION NUMBERS AND ZERO COST SAVINGS FOR 
THE FOLLOWING CODES: </t>
  </si>
  <si>
    <t xml:space="preserve">      For tickets with no contract or discount savings - the fare paid is equal to the lowest 
      non-penalty fare available. </t>
  </si>
  <si>
    <t xml:space="preserve">      For tickets exchanged due to rebooking or a mid-trip change using the same
      PNR - fare is equal to the add-collect.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</si>
  <si>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CL – LOWEST CAR RATE ACCEPTED</t>
    </r>
  </si>
  <si>
    <t xml:space="preserve">      For cars booked not using a contract - the rate paid is equal to the lowest rate 
      available for the same car.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</si>
  <si>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HL- LOWEST HOTEL RATE ACCEPTED</t>
    </r>
  </si>
  <si>
    <t xml:space="preserve">      For hotels booked not using a contract - the rate paid is equal to the lowest 
      available rate for that property.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</si>
  <si>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</si>
  <si>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</si>
  <si>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</si>
  <si>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</t>
    </r>
    <r>
      <rPr>
        <sz val="11"/>
        <rFont val="Arial"/>
        <family val="2"/>
      </rPr>
      <t xml:space="preserve"> – Western States Contracting Alliance – provides a means by which 
      participating states can join together in cooperative multi-state contracting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</si>
  <si>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</si>
  <si>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t xml:space="preserve">9 – AIR Contract (AS, DL, &amp; 7H) </t>
  </si>
  <si>
    <t>Hotel Preferred and WSCA Contract - HH</t>
  </si>
  <si>
    <t>USTRAVEL COST REPORT CODES</t>
  </si>
  <si>
    <t>B – PREFERRED NON-GDS RURAL</t>
  </si>
  <si>
    <t>G – GROUP OR MEETING FARE</t>
  </si>
  <si>
    <t>M – EZBIZ MILEAGE</t>
  </si>
  <si>
    <t>XF - USED A TICKET ON FILE</t>
  </si>
  <si>
    <t>XN – NAME CHANGE FOR TICKET ON FILE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</si>
  <si>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L – LOWEST FARE ACCEPTED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</si>
  <si>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XR – CANCEL AND REBOOK TRIP</t>
    </r>
  </si>
  <si>
    <t>Rental Car Contracts (Budget, Hertz, National, Enterprise) - CC</t>
  </si>
  <si>
    <t xml:space="preserve">      Alaska Airlines Contract Savings - 9</t>
  </si>
  <si>
    <t xml:space="preserve">      Delta Contract Savings - 9</t>
  </si>
  <si>
    <t xml:space="preserve">      ERA Contract Savings - 9</t>
  </si>
  <si>
    <t>Total Air Spend</t>
  </si>
  <si>
    <t xml:space="preserve">   Contract Air Savings Negotiated only -9 (Note 1)</t>
  </si>
  <si>
    <t>Note 1: Combined AS/DL totals JUL-DEC. The Alaska Airlines conract provides a negotiated percentage discount off all published fare.  The % discount is attributed to E-Travel Savings</t>
  </si>
  <si>
    <t xml:space="preserve">  Rural Air Carrier Contracts - B  (Note 2)</t>
  </si>
  <si>
    <t>Net Calculated (Cost) or Benefit from E-Travel Use (Note 3)</t>
  </si>
  <si>
    <t>Note 3: The Contract Savings Less E-Travel Fees</t>
  </si>
  <si>
    <t>Contract Savings / Total Air Spend</t>
  </si>
  <si>
    <t>Reported Savings:</t>
  </si>
  <si>
    <t xml:space="preserve">   AS Contract Negotiated Savings</t>
  </si>
  <si>
    <t xml:space="preserve">    Rural Air Carrier Contracts </t>
  </si>
  <si>
    <t>Savings per USTravel Reports</t>
  </si>
  <si>
    <t>Fees Paid</t>
  </si>
  <si>
    <t>Net Savings</t>
  </si>
  <si>
    <t>Gross Savings</t>
  </si>
  <si>
    <t>Reduced Fares per USTravel Reports</t>
  </si>
  <si>
    <t>Avoided Travel Agent Fees (Note 1)</t>
  </si>
  <si>
    <t>Avoided Travel Agent Fees  (Note 1)</t>
  </si>
  <si>
    <t xml:space="preserve">   MCAAK Fares </t>
  </si>
  <si>
    <t xml:space="preserve">   MCAAK Fares</t>
  </si>
  <si>
    <t>Note 2:  Combined ERA and Non-GDS Rural totals JUL-DEC / ERA Moved to Code 9 Carrier</t>
  </si>
  <si>
    <t>Calculated Savings for Medicaid Travel Office (MTO) FY08</t>
  </si>
  <si>
    <t>Calculated Savings for Medicaid Travel Office (MTO) FY07</t>
  </si>
  <si>
    <t>Calculated Savings for Medicaid Travel Office (MTO) FY05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</si>
</sst>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7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2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9" fontId="0" fillId="0" borderId="0" xfId="3" applyFont="1"/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43" fontId="0" fillId="0" borderId="0" xfId="0" applyNumberFormat="1"/>
    <xf numFmtId="43" fontId="3" fillId="0" borderId="0" xfId="0" applyNumberFormat="1" applyFont="1"/>
    <xf numFmtId="164" fontId="0" fillId="0" borderId="0" xfId="1" applyNumberFormat="1" applyFont="1" applyFill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left" indent="1"/>
    </xf>
    <xf numFmtId="164" fontId="0" fillId="0" borderId="1" xfId="1" applyNumberFormat="1" applyFont="1" applyBorder="1" applyAlignment="1">
      <alignment horizontal="left" indent="1"/>
    </xf>
    <xf numFmtId="164" fontId="0" fillId="0" borderId="1" xfId="0" applyNumberFormat="1" applyBorder="1"/>
    <xf numFmtId="164" fontId="3" fillId="0" borderId="0" xfId="0" applyNumberFormat="1" applyFont="1"/>
    <xf numFmtId="164" fontId="3" fillId="0" borderId="1" xfId="0" applyNumberFormat="1" applyFont="1" applyBorder="1"/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3" fillId="0" borderId="0" xfId="2" applyNumberFormat="1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164" fontId="1" fillId="0" borderId="0" xfId="1" applyNumberFormat="1"/>
    <xf numFmtId="165" fontId="1" fillId="0" borderId="0" xfId="2" applyNumberFormat="1" applyFont="1"/>
    <xf numFmtId="165" fontId="1" fillId="0" borderId="0" xfId="2" applyNumberFormat="1" applyAlignment="1">
      <alignment horizontal="center"/>
    </xf>
    <xf numFmtId="165" fontId="1" fillId="0" borderId="0" xfId="2" applyNumberFormat="1"/>
    <xf numFmtId="164" fontId="1" fillId="0" borderId="0" xfId="1" applyNumberFormat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Border="1"/>
    <xf numFmtId="164" fontId="1" fillId="0" borderId="0" xfId="1" applyNumberFormat="1" applyAlignment="1">
      <alignment horizontal="left" indent="1"/>
    </xf>
    <xf numFmtId="164" fontId="1" fillId="0" borderId="1" xfId="1" applyNumberFormat="1" applyBorder="1" applyAlignment="1">
      <alignment horizontal="left" indent="1"/>
    </xf>
    <xf numFmtId="0" fontId="2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/>
    <xf numFmtId="0" fontId="4" fillId="0" borderId="0" xfId="0" applyFont="1" applyAlignment="1"/>
    <xf numFmtId="165" fontId="1" fillId="0" borderId="0" xfId="2" applyNumberFormat="1" applyAlignment="1"/>
    <xf numFmtId="164" fontId="1" fillId="0" borderId="0" xfId="1" applyNumberFormat="1" applyAlignment="1"/>
    <xf numFmtId="164" fontId="1" fillId="0" borderId="1" xfId="1" applyNumberFormat="1" applyBorder="1" applyAlignment="1"/>
    <xf numFmtId="0" fontId="2" fillId="0" borderId="0" xfId="0" applyFont="1" applyAlignment="1"/>
    <xf numFmtId="0" fontId="0" fillId="0" borderId="1" xfId="0" applyBorder="1" applyAlignment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42" fontId="0" fillId="0" borderId="1" xfId="0" applyNumberFormat="1" applyBorder="1"/>
    <xf numFmtId="42" fontId="0" fillId="0" borderId="1" xfId="0" applyNumberFormat="1" applyBorder="1" applyAlignment="1">
      <alignment horizontal="center"/>
    </xf>
    <xf numFmtId="165" fontId="3" fillId="0" borderId="2" xfId="2" applyNumberFormat="1" applyFont="1" applyBorder="1"/>
    <xf numFmtId="0" fontId="3" fillId="0" borderId="0" xfId="0" applyFont="1" applyBorder="1"/>
    <xf numFmtId="0" fontId="2" fillId="0" borderId="0" xfId="0" applyFont="1" applyFill="1"/>
    <xf numFmtId="164" fontId="3" fillId="0" borderId="0" xfId="0" applyNumberFormat="1" applyFont="1" applyBorder="1"/>
    <xf numFmtId="165" fontId="8" fillId="0" borderId="0" xfId="2" applyNumberFormat="1" applyFont="1"/>
    <xf numFmtId="164" fontId="8" fillId="0" borderId="0" xfId="0" applyNumberFormat="1" applyFont="1"/>
    <xf numFmtId="164" fontId="1" fillId="0" borderId="0" xfId="2" applyNumberFormat="1" applyAlignment="1"/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42" fontId="1" fillId="0" borderId="0" xfId="1" applyNumberFormat="1" applyFont="1" applyAlignment="1">
      <alignment horizontal="center"/>
    </xf>
    <xf numFmtId="42" fontId="1" fillId="0" borderId="0" xfId="2" applyNumberFormat="1" applyFont="1" applyAlignment="1">
      <alignment horizontal="center"/>
    </xf>
    <xf numFmtId="42" fontId="1" fillId="0" borderId="1" xfId="1" applyNumberFormat="1" applyFont="1" applyBorder="1" applyAlignment="1">
      <alignment horizontal="center"/>
    </xf>
    <xf numFmtId="42" fontId="1" fillId="0" borderId="0" xfId="2" applyNumberFormat="1"/>
    <xf numFmtId="42" fontId="1" fillId="0" borderId="1" xfId="1" applyNumberFormat="1" applyBorder="1" applyAlignment="1">
      <alignment horizontal="center"/>
    </xf>
    <xf numFmtId="42" fontId="1" fillId="0" borderId="0" xfId="1" applyNumberFormat="1" applyAlignment="1">
      <alignment horizontal="center"/>
    </xf>
    <xf numFmtId="42" fontId="1" fillId="0" borderId="0" xfId="1" applyNumberFormat="1" applyFill="1" applyAlignment="1">
      <alignment horizontal="center"/>
    </xf>
    <xf numFmtId="42" fontId="1" fillId="0" borderId="1" xfId="1" applyNumberFormat="1" applyFill="1" applyBorder="1" applyAlignment="1">
      <alignment horizontal="center"/>
    </xf>
    <xf numFmtId="42" fontId="1" fillId="0" borderId="0" xfId="1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1" fillId="0" borderId="0" xfId="2" applyNumberFormat="1" applyAlignment="1">
      <alignment horizontal="center"/>
    </xf>
    <xf numFmtId="37" fontId="1" fillId="0" borderId="0" xfId="1" applyNumberFormat="1" applyAlignment="1">
      <alignment horizontal="center"/>
    </xf>
    <xf numFmtId="37" fontId="1" fillId="0" borderId="1" xfId="1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2" applyNumberFormat="1" applyAlignment="1">
      <alignment horizontal="center"/>
    </xf>
    <xf numFmtId="3" fontId="1" fillId="0" borderId="0" xfId="1" applyNumberFormat="1" applyAlignment="1">
      <alignment horizontal="center"/>
    </xf>
    <xf numFmtId="3" fontId="1" fillId="0" borderId="1" xfId="1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0" fillId="0" borderId="0" xfId="0" applyNumberFormat="1" applyAlignment="1"/>
    <xf numFmtId="3" fontId="1" fillId="0" borderId="0" xfId="2" applyNumberFormat="1" applyAlignment="1"/>
    <xf numFmtId="3" fontId="1" fillId="0" borderId="0" xfId="1" applyNumberFormat="1" applyAlignment="1"/>
    <xf numFmtId="3" fontId="1" fillId="0" borderId="1" xfId="1" applyNumberFormat="1" applyBorder="1" applyAlignment="1"/>
    <xf numFmtId="3" fontId="0" fillId="0" borderId="1" xfId="0" applyNumberFormat="1" applyBorder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1" fillId="0" borderId="0" xfId="2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0" fillId="0" borderId="0" xfId="0" applyNumberFormat="1" applyAlignment="1"/>
    <xf numFmtId="164" fontId="1" fillId="0" borderId="0" xfId="1" applyNumberFormat="1" applyFont="1" applyAlignment="1"/>
    <xf numFmtId="0" fontId="1" fillId="0" borderId="0" xfId="1" applyNumberFormat="1" applyFont="1" applyAlignment="1"/>
    <xf numFmtId="42" fontId="1" fillId="0" borderId="0" xfId="1" applyNumberFormat="1" applyFont="1" applyAlignment="1"/>
    <xf numFmtId="37" fontId="0" fillId="0" borderId="0" xfId="0" applyNumberFormat="1" applyAlignment="1"/>
    <xf numFmtId="0" fontId="7" fillId="0" borderId="0" xfId="0" applyFont="1" applyAlignment="1"/>
    <xf numFmtId="0" fontId="3" fillId="0" borderId="0" xfId="0" applyFont="1" applyAlignment="1"/>
    <xf numFmtId="0" fontId="1" fillId="0" borderId="0" xfId="2" applyNumberFormat="1" applyAlignment="1"/>
    <xf numFmtId="42" fontId="1" fillId="0" borderId="0" xfId="2" applyNumberFormat="1" applyFont="1" applyAlignment="1"/>
    <xf numFmtId="37" fontId="1" fillId="0" borderId="0" xfId="2" applyNumberFormat="1" applyAlignment="1"/>
    <xf numFmtId="164" fontId="0" fillId="0" borderId="0" xfId="0" applyNumberFormat="1" applyAlignment="1"/>
    <xf numFmtId="164" fontId="3" fillId="0" borderId="0" xfId="0" applyNumberFormat="1" applyFont="1" applyAlignment="1"/>
    <xf numFmtId="0" fontId="1" fillId="0" borderId="0" xfId="1" applyNumberFormat="1" applyAlignment="1"/>
    <xf numFmtId="37" fontId="1" fillId="0" borderId="0" xfId="1" applyNumberFormat="1" applyAlignment="1"/>
    <xf numFmtId="0" fontId="1" fillId="0" borderId="1" xfId="1" applyNumberFormat="1" applyBorder="1" applyAlignment="1"/>
    <xf numFmtId="164" fontId="1" fillId="0" borderId="1" xfId="1" applyNumberFormat="1" applyFont="1" applyBorder="1" applyAlignment="1"/>
    <xf numFmtId="42" fontId="1" fillId="0" borderId="1" xfId="1" applyNumberFormat="1" applyFont="1" applyBorder="1" applyAlignment="1"/>
    <xf numFmtId="37" fontId="1" fillId="0" borderId="1" xfId="1" applyNumberFormat="1" applyBorder="1" applyAlignment="1"/>
    <xf numFmtId="164" fontId="0" fillId="0" borderId="1" xfId="0" applyNumberFormat="1" applyBorder="1" applyAlignment="1"/>
    <xf numFmtId="42" fontId="1" fillId="0" borderId="0" xfId="2" applyNumberFormat="1" applyAlignment="1"/>
    <xf numFmtId="42" fontId="1" fillId="0" borderId="1" xfId="1" applyNumberFormat="1" applyBorder="1" applyAlignment="1"/>
    <xf numFmtId="42" fontId="1" fillId="0" borderId="0" xfId="1" applyNumberFormat="1" applyAlignment="1"/>
    <xf numFmtId="42" fontId="1" fillId="0" borderId="0" xfId="1" applyNumberFormat="1" applyFill="1" applyAlignment="1"/>
    <xf numFmtId="164" fontId="0" fillId="0" borderId="0" xfId="0" applyNumberFormat="1" applyBorder="1" applyAlignment="1"/>
    <xf numFmtId="164" fontId="3" fillId="0" borderId="0" xfId="0" applyNumberFormat="1" applyFont="1" applyBorder="1" applyAlignment="1"/>
    <xf numFmtId="42" fontId="1" fillId="0" borderId="1" xfId="1" applyNumberFormat="1" applyFill="1" applyBorder="1" applyAlignment="1"/>
    <xf numFmtId="3" fontId="1" fillId="0" borderId="0" xfId="1" applyNumberFormat="1" applyBorder="1" applyAlignment="1"/>
    <xf numFmtId="42" fontId="0" fillId="0" borderId="0" xfId="0" applyNumberFormat="1" applyAlignment="1"/>
    <xf numFmtId="42" fontId="0" fillId="0" borderId="1" xfId="0" applyNumberFormat="1" applyBorder="1" applyAlignment="1"/>
    <xf numFmtId="37" fontId="0" fillId="0" borderId="1" xfId="0" applyNumberFormat="1" applyBorder="1" applyAlignment="1"/>
    <xf numFmtId="0" fontId="0" fillId="0" borderId="0" xfId="0" applyBorder="1" applyAlignment="1"/>
    <xf numFmtId="3" fontId="1" fillId="0" borderId="1" xfId="2" applyNumberFormat="1" applyBorder="1" applyAlignment="1"/>
    <xf numFmtId="9" fontId="0" fillId="0" borderId="0" xfId="0" applyNumberFormat="1" applyAlignment="1"/>
    <xf numFmtId="164" fontId="1" fillId="0" borderId="0" xfId="1" applyNumberFormat="1" applyBorder="1" applyAlignment="1"/>
    <xf numFmtId="165" fontId="8" fillId="0" borderId="0" xfId="2" applyNumberFormat="1" applyFont="1" applyBorder="1" applyAlignment="1"/>
    <xf numFmtId="165" fontId="3" fillId="0" borderId="0" xfId="2" applyNumberFormat="1" applyFont="1" applyBorder="1" applyAlignment="1"/>
    <xf numFmtId="164" fontId="8" fillId="0" borderId="0" xfId="0" applyNumberFormat="1" applyFont="1" applyBorder="1" applyAlignment="1"/>
    <xf numFmtId="3" fontId="1" fillId="0" borderId="0" xfId="2" applyNumberFormat="1" applyBorder="1" applyAlignment="1"/>
    <xf numFmtId="41" fontId="0" fillId="0" borderId="1" xfId="0" applyNumberFormat="1" applyBorder="1" applyAlignment="1"/>
    <xf numFmtId="41" fontId="1" fillId="0" borderId="0" xfId="1" applyNumberFormat="1" applyAlignment="1"/>
    <xf numFmtId="41" fontId="0" fillId="0" borderId="0" xfId="0" applyNumberFormat="1" applyAlignment="1">
      <alignment horizontal="center"/>
    </xf>
    <xf numFmtId="41" fontId="0" fillId="0" borderId="0" xfId="0" applyNumberFormat="1" applyAlignment="1"/>
    <xf numFmtId="41" fontId="1" fillId="0" borderId="0" xfId="2" applyNumberFormat="1" applyAlignment="1"/>
    <xf numFmtId="41" fontId="1" fillId="0" borderId="1" xfId="1" applyNumberFormat="1" applyBorder="1" applyAlignment="1"/>
    <xf numFmtId="164" fontId="1" fillId="0" borderId="0" xfId="1" applyNumberFormat="1" applyFill="1" applyAlignment="1"/>
    <xf numFmtId="0" fontId="9" fillId="0" borderId="0" xfId="0" applyFont="1"/>
    <xf numFmtId="3" fontId="1" fillId="0" borderId="0" xfId="1" applyNumberFormat="1" applyBorder="1" applyAlignment="1">
      <alignment horizontal="center"/>
    </xf>
    <xf numFmtId="41" fontId="1" fillId="0" borderId="0" xfId="1" applyNumberFormat="1" applyFont="1" applyAlignment="1">
      <alignment horizontal="center"/>
    </xf>
    <xf numFmtId="41" fontId="1" fillId="0" borderId="1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left" indent="1"/>
    </xf>
    <xf numFmtId="3" fontId="1" fillId="0" borderId="0" xfId="1" applyNumberFormat="1" applyFont="1" applyAlignment="1"/>
    <xf numFmtId="3" fontId="3" fillId="2" borderId="2" xfId="0" applyNumberFormat="1" applyFont="1" applyFill="1" applyBorder="1" applyAlignment="1">
      <alignment horizontal="center"/>
    </xf>
    <xf numFmtId="165" fontId="3" fillId="2" borderId="2" xfId="2" applyNumberFormat="1" applyFont="1" applyFill="1" applyBorder="1"/>
    <xf numFmtId="3" fontId="3" fillId="2" borderId="2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/>
    <xf numFmtId="42" fontId="3" fillId="2" borderId="2" xfId="2" applyNumberFormat="1" applyFont="1" applyFill="1" applyBorder="1"/>
    <xf numFmtId="165" fontId="3" fillId="2" borderId="2" xfId="2" applyNumberFormat="1" applyFont="1" applyFill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1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1" fillId="0" borderId="0" xfId="2" applyNumberFormat="1" applyAlignment="1">
      <alignment horizontal="right"/>
    </xf>
    <xf numFmtId="3" fontId="1" fillId="0" borderId="0" xfId="1" applyNumberFormat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right"/>
    </xf>
    <xf numFmtId="3" fontId="1" fillId="0" borderId="4" xfId="1" applyNumberFormat="1" applyBorder="1" applyAlignment="1">
      <alignment horizontal="right"/>
    </xf>
    <xf numFmtId="164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1" applyNumberFormat="1" applyAlignment="1">
      <alignment horizontal="right" indent="1"/>
    </xf>
    <xf numFmtId="164" fontId="1" fillId="0" borderId="0" xfId="1" applyNumberFormat="1" applyBorder="1" applyAlignment="1">
      <alignment horizontal="right" indent="1"/>
    </xf>
    <xf numFmtId="3" fontId="0" fillId="0" borderId="0" xfId="0" applyNumberFormat="1" applyBorder="1" applyAlignment="1">
      <alignment horizontal="right"/>
    </xf>
    <xf numFmtId="164" fontId="1" fillId="0" borderId="1" xfId="1" applyNumberFormat="1" applyBorder="1" applyAlignment="1">
      <alignment horizontal="right" indent="1"/>
    </xf>
    <xf numFmtId="3" fontId="1" fillId="0" borderId="0" xfId="1" applyNumberForma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42" fontId="1" fillId="0" borderId="0" xfId="1" applyNumberFormat="1" applyAlignment="1">
      <alignment horizontal="right"/>
    </xf>
    <xf numFmtId="3" fontId="1" fillId="0" borderId="0" xfId="1" applyNumberFormat="1" applyFont="1" applyAlignment="1">
      <alignment horizontal="right"/>
    </xf>
    <xf numFmtId="42" fontId="1" fillId="0" borderId="0" xfId="1" applyNumberFormat="1" applyFont="1" applyAlignment="1">
      <alignment horizontal="right"/>
    </xf>
    <xf numFmtId="165" fontId="1" fillId="0" borderId="0" xfId="2" applyNumberFormat="1" applyAlignment="1">
      <alignment horizontal="right"/>
    </xf>
    <xf numFmtId="42" fontId="1" fillId="0" borderId="0" xfId="2" applyNumberFormat="1" applyFont="1" applyAlignment="1">
      <alignment horizontal="right"/>
    </xf>
    <xf numFmtId="164" fontId="1" fillId="0" borderId="0" xfId="1" applyNumberFormat="1" applyBorder="1" applyAlignment="1">
      <alignment horizontal="right"/>
    </xf>
    <xf numFmtId="41" fontId="1" fillId="0" borderId="0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2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5" fontId="3" fillId="0" borderId="0" xfId="2" applyNumberFormat="1" applyFont="1" applyAlignment="1">
      <alignment horizontal="left"/>
    </xf>
    <xf numFmtId="165" fontId="8" fillId="0" borderId="0" xfId="2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65" fontId="3" fillId="0" borderId="5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42" fontId="3" fillId="0" borderId="0" xfId="0" applyNumberFormat="1" applyFont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/>
    <xf numFmtId="0" fontId="12" fillId="0" borderId="0" xfId="0" applyFont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42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indent="1"/>
    </xf>
    <xf numFmtId="164" fontId="8" fillId="0" borderId="0" xfId="1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4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164" fontId="1" fillId="3" borderId="0" xfId="1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164" fontId="1" fillId="3" borderId="1" xfId="1" applyNumberForma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right"/>
    </xf>
    <xf numFmtId="164" fontId="3" fillId="3" borderId="0" xfId="1" applyNumberFormat="1" applyFont="1" applyFill="1" applyAlignment="1">
      <alignment horizontal="right"/>
    </xf>
    <xf numFmtId="3" fontId="1" fillId="3" borderId="0" xfId="2" applyNumberFormat="1" applyFont="1" applyFill="1" applyAlignment="1">
      <alignment horizontal="right"/>
    </xf>
    <xf numFmtId="164" fontId="1" fillId="3" borderId="0" xfId="1" applyNumberFormat="1" applyFill="1" applyBorder="1" applyAlignment="1">
      <alignment horizontal="right" indent="1"/>
    </xf>
    <xf numFmtId="3" fontId="8" fillId="3" borderId="0" xfId="2" applyNumberFormat="1" applyFont="1" applyFill="1" applyAlignment="1">
      <alignment horizontal="right"/>
    </xf>
    <xf numFmtId="164" fontId="8" fillId="3" borderId="0" xfId="1" applyNumberFormat="1" applyFont="1" applyFill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165" fontId="3" fillId="3" borderId="5" xfId="2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Border="1" applyAlignment="1">
      <alignment horizontal="right"/>
    </xf>
    <xf numFmtId="42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center"/>
    </xf>
    <xf numFmtId="9" fontId="3" fillId="3" borderId="0" xfId="0" applyNumberFormat="1" applyFont="1" applyFill="1"/>
    <xf numFmtId="3" fontId="1" fillId="3" borderId="0" xfId="1" applyNumberFormat="1" applyFill="1" applyAlignment="1">
      <alignment horizontal="center"/>
    </xf>
    <xf numFmtId="164" fontId="1" fillId="3" borderId="0" xfId="1" applyNumberFormat="1" applyFill="1"/>
    <xf numFmtId="3" fontId="1" fillId="3" borderId="4" xfId="1" applyNumberFormat="1" applyFill="1" applyBorder="1" applyAlignment="1">
      <alignment horizontal="right"/>
    </xf>
    <xf numFmtId="3" fontId="1" fillId="3" borderId="0" xfId="1" applyNumberFormat="1" applyFill="1" applyAlignment="1">
      <alignment horizontal="right"/>
    </xf>
    <xf numFmtId="164" fontId="1" fillId="3" borderId="0" xfId="1" applyNumberFormat="1" applyFill="1" applyAlignment="1">
      <alignment horizontal="right" indent="1"/>
    </xf>
    <xf numFmtId="3" fontId="1" fillId="3" borderId="0" xfId="1" applyNumberForma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165" fontId="1" fillId="3" borderId="0" xfId="2" applyNumberFormat="1" applyFill="1" applyAlignment="1">
      <alignment horizontal="right"/>
    </xf>
    <xf numFmtId="3" fontId="0" fillId="3" borderId="0" xfId="0" applyNumberFormat="1" applyFill="1" applyAlignment="1"/>
    <xf numFmtId="3" fontId="1" fillId="3" borderId="0" xfId="2" applyNumberFormat="1" applyFill="1" applyAlignment="1">
      <alignment horizontal="right"/>
    </xf>
    <xf numFmtId="164" fontId="1" fillId="3" borderId="1" xfId="1" applyNumberFormat="1" applyFill="1" applyBorder="1" applyAlignment="1">
      <alignment horizontal="right"/>
    </xf>
    <xf numFmtId="164" fontId="1" fillId="3" borderId="0" xfId="1" applyNumberFormat="1" applyFont="1" applyFill="1" applyAlignment="1">
      <alignment horizontal="right"/>
    </xf>
    <xf numFmtId="165" fontId="1" fillId="3" borderId="0" xfId="2" applyNumberFormat="1" applyFont="1" applyFill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42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Alignment="1">
      <alignment horizontal="center"/>
    </xf>
    <xf numFmtId="42" fontId="3" fillId="3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3" borderId="0" xfId="1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2" fontId="8" fillId="0" borderId="0" xfId="0" applyNumberFormat="1" applyFont="1" applyAlignment="1">
      <alignment horizontal="center"/>
    </xf>
    <xf numFmtId="42" fontId="8" fillId="0" borderId="0" xfId="1" applyNumberFormat="1" applyFont="1" applyAlignment="1">
      <alignment horizontal="center"/>
    </xf>
    <xf numFmtId="164" fontId="8" fillId="3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3" fontId="0" fillId="4" borderId="4" xfId="0" applyNumberFormat="1" applyFill="1" applyBorder="1" applyAlignment="1">
      <alignment horizontal="right"/>
    </xf>
    <xf numFmtId="0" fontId="0" fillId="4" borderId="0" xfId="0" applyFill="1" applyAlignment="1">
      <alignment horizontal="right"/>
    </xf>
    <xf numFmtId="3" fontId="0" fillId="4" borderId="0" xfId="0" applyNumberFormat="1" applyFill="1" applyAlignment="1">
      <alignment horizontal="right"/>
    </xf>
    <xf numFmtId="164" fontId="0" fillId="4" borderId="0" xfId="0" applyNumberFormat="1" applyFill="1" applyBorder="1" applyAlignment="1">
      <alignment horizontal="right"/>
    </xf>
    <xf numFmtId="3" fontId="1" fillId="4" borderId="0" xfId="1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3" fontId="3" fillId="4" borderId="0" xfId="1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/>
    </xf>
    <xf numFmtId="3" fontId="1" fillId="4" borderId="0" xfId="2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3" fontId="8" fillId="4" borderId="0" xfId="2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5" fontId="0" fillId="4" borderId="0" xfId="2" applyNumberFormat="1" applyFont="1" applyFill="1" applyAlignment="1">
      <alignment horizontal="right"/>
    </xf>
    <xf numFmtId="3" fontId="3" fillId="4" borderId="5" xfId="2" applyNumberFormat="1" applyFont="1" applyFill="1" applyBorder="1" applyAlignment="1">
      <alignment horizontal="right"/>
    </xf>
    <xf numFmtId="165" fontId="3" fillId="4" borderId="5" xfId="2" applyNumberFormat="1" applyFont="1" applyFill="1" applyBorder="1" applyAlignment="1">
      <alignment horizontal="right"/>
    </xf>
    <xf numFmtId="3" fontId="1" fillId="4" borderId="0" xfId="2" applyNumberForma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42" fontId="3" fillId="4" borderId="0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wrapText="1" indent="4"/>
    </xf>
    <xf numFmtId="0" fontId="16" fillId="0" borderId="0" xfId="0" applyFont="1" applyAlignment="1">
      <alignment horizontal="left" indent="4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wrapText="1" indent="4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/>
    <xf numFmtId="3" fontId="3" fillId="4" borderId="0" xfId="0" applyNumberFormat="1" applyFont="1" applyFill="1" applyAlignment="1">
      <alignment horizontal="center"/>
    </xf>
    <xf numFmtId="9" fontId="3" fillId="4" borderId="0" xfId="0" applyNumberFormat="1" applyFont="1" applyFill="1"/>
    <xf numFmtId="3" fontId="1" fillId="0" borderId="0" xfId="2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" borderId="0" xfId="2" applyNumberFormat="1" applyFont="1" applyFill="1" applyAlignment="1">
      <alignment horizontal="center"/>
    </xf>
    <xf numFmtId="165" fontId="1" fillId="3" borderId="0" xfId="2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5" fontId="1" fillId="3" borderId="0" xfId="2" applyNumberFormat="1" applyFill="1"/>
    <xf numFmtId="164" fontId="1" fillId="3" borderId="1" xfId="1" applyNumberFormat="1" applyFill="1" applyBorder="1"/>
    <xf numFmtId="164" fontId="1" fillId="3" borderId="1" xfId="1" applyNumberFormat="1" applyFill="1" applyBorder="1" applyAlignment="1">
      <alignment horizontal="left" indent="1"/>
    </xf>
    <xf numFmtId="42" fontId="0" fillId="3" borderId="1" xfId="0" applyNumberFormat="1" applyFill="1" applyBorder="1"/>
    <xf numFmtId="9" fontId="0" fillId="3" borderId="0" xfId="0" applyNumberFormat="1" applyFill="1"/>
    <xf numFmtId="3" fontId="1" fillId="3" borderId="0" xfId="2" applyNumberFormat="1" applyFill="1" applyAlignment="1"/>
    <xf numFmtId="3" fontId="1" fillId="3" borderId="0" xfId="1" applyNumberFormat="1" applyFill="1" applyBorder="1" applyAlignment="1"/>
    <xf numFmtId="3" fontId="1" fillId="3" borderId="1" xfId="1" applyNumberFormat="1" applyFill="1" applyBorder="1" applyAlignment="1"/>
    <xf numFmtId="3" fontId="1" fillId="3" borderId="0" xfId="2" applyNumberFormat="1" applyFill="1" applyAlignment="1">
      <alignment horizontal="center"/>
    </xf>
    <xf numFmtId="3" fontId="1" fillId="3" borderId="0" xfId="1" applyNumberFormat="1" applyFill="1" applyAlignment="1"/>
    <xf numFmtId="164" fontId="1" fillId="3" borderId="0" xfId="1" applyNumberFormat="1" applyFill="1" applyAlignment="1">
      <alignment horizontal="left" indent="1"/>
    </xf>
    <xf numFmtId="3" fontId="1" fillId="3" borderId="0" xfId="1" applyNumberFormat="1" applyFont="1" applyFill="1" applyAlignment="1"/>
    <xf numFmtId="164" fontId="1" fillId="3" borderId="0" xfId="1" applyNumberFormat="1" applyFont="1" applyFill="1" applyAlignment="1">
      <alignment horizontal="center"/>
    </xf>
    <xf numFmtId="165" fontId="1" fillId="3" borderId="0" xfId="2" applyNumberFormat="1" applyFont="1" applyFill="1" applyAlignment="1">
      <alignment horizontal="center"/>
    </xf>
    <xf numFmtId="3" fontId="1" fillId="3" borderId="0" xfId="1" applyNumberForma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3" fontId="1" fillId="3" borderId="1" xfId="1" applyNumberForma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42" fontId="1" fillId="3" borderId="1" xfId="1" applyNumberFormat="1" applyFont="1" applyFill="1" applyBorder="1"/>
    <xf numFmtId="164" fontId="0" fillId="3" borderId="1" xfId="1" applyNumberFormat="1" applyFont="1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3" fontId="1" fillId="3" borderId="0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42" fontId="1" fillId="3" borderId="0" xfId="1" applyNumberFormat="1" applyFill="1"/>
    <xf numFmtId="3" fontId="1" fillId="4" borderId="0" xfId="2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2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5" fontId="1" fillId="4" borderId="0" xfId="2" applyNumberFormat="1" applyFill="1"/>
    <xf numFmtId="3" fontId="1" fillId="4" borderId="1" xfId="1" applyNumberFormat="1" applyFill="1" applyBorder="1" applyAlignment="1">
      <alignment horizontal="center"/>
    </xf>
    <xf numFmtId="3" fontId="1" fillId="4" borderId="0" xfId="1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3" fontId="1" fillId="4" borderId="0" xfId="1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2" fontId="0" fillId="4" borderId="1" xfId="0" applyNumberFormat="1" applyFill="1" applyBorder="1" applyAlignment="1">
      <alignment horizontal="center"/>
    </xf>
    <xf numFmtId="9" fontId="0" fillId="4" borderId="0" xfId="0" applyNumberFormat="1" applyFill="1"/>
    <xf numFmtId="3" fontId="0" fillId="3" borderId="0" xfId="2" applyNumberFormat="1" applyFont="1" applyFill="1" applyAlignment="1"/>
    <xf numFmtId="0" fontId="0" fillId="3" borderId="1" xfId="0" applyFill="1" applyBorder="1"/>
    <xf numFmtId="9" fontId="0" fillId="3" borderId="0" xfId="0" applyNumberFormat="1" applyFill="1" applyAlignment="1"/>
    <xf numFmtId="0" fontId="5" fillId="2" borderId="2" xfId="0" applyFont="1" applyFill="1" applyBorder="1" applyAlignment="1">
      <alignment horizontal="right"/>
    </xf>
    <xf numFmtId="0" fontId="3" fillId="2" borderId="2" xfId="0" applyFont="1" applyFill="1" applyBorder="1"/>
    <xf numFmtId="0" fontId="0" fillId="4" borderId="1" xfId="0" applyFill="1" applyBorder="1" applyAlignment="1">
      <alignment horizontal="center"/>
    </xf>
    <xf numFmtId="9" fontId="0" fillId="4" borderId="0" xfId="0" applyNumberFormat="1" applyFill="1" applyAlignment="1"/>
    <xf numFmtId="0" fontId="0" fillId="4" borderId="0" xfId="0" applyFill="1"/>
    <xf numFmtId="3" fontId="0" fillId="3" borderId="1" xfId="0" applyNumberFormat="1" applyFill="1" applyBorder="1" applyAlignment="1"/>
    <xf numFmtId="42" fontId="1" fillId="3" borderId="1" xfId="1" applyNumberFormat="1" applyFill="1" applyBorder="1"/>
    <xf numFmtId="0" fontId="0" fillId="3" borderId="1" xfId="0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0" xfId="0" applyFill="1" applyAlignment="1"/>
    <xf numFmtId="3" fontId="1" fillId="3" borderId="0" xfId="2" applyNumberFormat="1" applyFont="1" applyFill="1" applyAlignment="1"/>
    <xf numFmtId="165" fontId="1" fillId="3" borderId="0" xfId="2" applyNumberFormat="1" applyFill="1" applyAlignment="1"/>
    <xf numFmtId="164" fontId="1" fillId="3" borderId="0" xfId="1" applyNumberFormat="1" applyFill="1" applyAlignment="1"/>
    <xf numFmtId="164" fontId="1" fillId="3" borderId="1" xfId="1" applyNumberFormat="1" applyFill="1" applyBorder="1" applyAlignment="1"/>
    <xf numFmtId="0" fontId="0" fillId="3" borderId="1" xfId="0" applyFill="1" applyBorder="1" applyAlignment="1"/>
    <xf numFmtId="42" fontId="0" fillId="3" borderId="1" xfId="0" applyNumberFormat="1" applyFill="1" applyBorder="1" applyAlignment="1"/>
    <xf numFmtId="3" fontId="3" fillId="2" borderId="2" xfId="0" applyNumberFormat="1" applyFont="1" applyFill="1" applyBorder="1" applyAlignment="1"/>
    <xf numFmtId="165" fontId="3" fillId="2" borderId="2" xfId="2" applyNumberFormat="1" applyFont="1" applyFill="1" applyBorder="1" applyAlignment="1"/>
    <xf numFmtId="0" fontId="3" fillId="2" borderId="2" xfId="2" applyNumberFormat="1" applyFont="1" applyFill="1" applyBorder="1" applyAlignment="1"/>
    <xf numFmtId="41" fontId="3" fillId="2" borderId="2" xfId="2" applyNumberFormat="1" applyFont="1" applyFill="1" applyBorder="1" applyAlignment="1"/>
    <xf numFmtId="42" fontId="3" fillId="2" borderId="2" xfId="2" applyNumberFormat="1" applyFont="1" applyFill="1" applyBorder="1" applyAlignment="1"/>
    <xf numFmtId="37" fontId="3" fillId="2" borderId="2" xfId="2" applyNumberFormat="1" applyFont="1" applyFill="1" applyBorder="1" applyAlignment="1"/>
    <xf numFmtId="3" fontId="0" fillId="4" borderId="0" xfId="0" applyNumberFormat="1" applyFill="1" applyAlignment="1"/>
    <xf numFmtId="0" fontId="0" fillId="4" borderId="0" xfId="0" applyFill="1" applyAlignment="1"/>
    <xf numFmtId="3" fontId="1" fillId="4" borderId="0" xfId="2" applyNumberFormat="1" applyFill="1" applyAlignment="1"/>
    <xf numFmtId="164" fontId="0" fillId="4" borderId="0" xfId="0" applyNumberFormat="1" applyFill="1" applyAlignment="1"/>
    <xf numFmtId="3" fontId="1" fillId="4" borderId="0" xfId="1" applyNumberFormat="1" applyFill="1" applyAlignment="1"/>
    <xf numFmtId="3" fontId="1" fillId="4" borderId="1" xfId="1" applyNumberFormat="1" applyFill="1" applyBorder="1" applyAlignment="1"/>
    <xf numFmtId="164" fontId="0" fillId="4" borderId="1" xfId="0" applyNumberFormat="1" applyFill="1" applyBorder="1" applyAlignment="1"/>
    <xf numFmtId="165" fontId="1" fillId="4" borderId="0" xfId="2" applyNumberFormat="1" applyFill="1" applyAlignment="1"/>
    <xf numFmtId="164" fontId="0" fillId="4" borderId="0" xfId="0" applyNumberFormat="1" applyFill="1" applyBorder="1" applyAlignment="1"/>
    <xf numFmtId="3" fontId="1" fillId="4" borderId="0" xfId="1" applyNumberFormat="1" applyFill="1" applyBorder="1" applyAlignment="1"/>
    <xf numFmtId="3" fontId="0" fillId="4" borderId="1" xfId="0" applyNumberFormat="1" applyFill="1" applyBorder="1" applyAlignment="1"/>
    <xf numFmtId="0" fontId="0" fillId="4" borderId="1" xfId="0" applyFill="1" applyBorder="1" applyAlignment="1"/>
    <xf numFmtId="42" fontId="0" fillId="4" borderId="1" xfId="0" applyNumberFormat="1" applyFill="1" applyBorder="1" applyAlignment="1"/>
    <xf numFmtId="0" fontId="0" fillId="3" borderId="0" xfId="0" applyNumberFormat="1" applyFill="1" applyAlignment="1">
      <alignment horizontal="center"/>
    </xf>
    <xf numFmtId="0" fontId="0" fillId="3" borderId="0" xfId="0" applyNumberFormat="1" applyFill="1" applyAlignment="1"/>
    <xf numFmtId="164" fontId="1" fillId="3" borderId="0" xfId="1" applyNumberFormat="1" applyFont="1" applyFill="1" applyAlignment="1"/>
    <xf numFmtId="165" fontId="1" fillId="3" borderId="0" xfId="2" applyNumberFormat="1" applyFont="1" applyFill="1" applyAlignment="1"/>
    <xf numFmtId="3" fontId="1" fillId="3" borderId="1" xfId="2" applyNumberFormat="1" applyFill="1" applyBorder="1" applyAlignment="1"/>
    <xf numFmtId="164" fontId="1" fillId="3" borderId="1" xfId="1" applyNumberFormat="1" applyFont="1" applyFill="1" applyBorder="1" applyAlignment="1"/>
    <xf numFmtId="0" fontId="1" fillId="3" borderId="0" xfId="2" applyNumberFormat="1" applyFill="1" applyAlignment="1"/>
    <xf numFmtId="0" fontId="1" fillId="3" borderId="1" xfId="1" applyNumberFormat="1" applyFill="1" applyBorder="1" applyAlignment="1"/>
    <xf numFmtId="0" fontId="1" fillId="3" borderId="0" xfId="1" applyNumberFormat="1" applyFill="1" applyAlignment="1"/>
    <xf numFmtId="0" fontId="0" fillId="3" borderId="1" xfId="0" applyNumberFormat="1" applyFill="1" applyBorder="1" applyAlignment="1"/>
    <xf numFmtId="3" fontId="1" fillId="3" borderId="0" xfId="2" applyNumberFormat="1" applyFill="1" applyBorder="1" applyAlignment="1"/>
    <xf numFmtId="42" fontId="1" fillId="3" borderId="1" xfId="1" applyNumberFormat="1" applyFill="1" applyBorder="1" applyAlignment="1"/>
    <xf numFmtId="41" fontId="0" fillId="3" borderId="0" xfId="0" applyNumberFormat="1" applyFill="1" applyAlignment="1">
      <alignment horizontal="center"/>
    </xf>
    <xf numFmtId="41" fontId="0" fillId="3" borderId="0" xfId="0" applyNumberFormat="1" applyFill="1" applyAlignment="1"/>
    <xf numFmtId="41" fontId="1" fillId="3" borderId="0" xfId="2" applyNumberFormat="1" applyFill="1" applyAlignment="1"/>
    <xf numFmtId="41" fontId="1" fillId="3" borderId="0" xfId="1" applyNumberFormat="1" applyFill="1" applyAlignment="1"/>
    <xf numFmtId="41" fontId="1" fillId="3" borderId="1" xfId="1" applyNumberFormat="1" applyFill="1" applyBorder="1" applyAlignment="1"/>
    <xf numFmtId="41" fontId="1" fillId="3" borderId="0" xfId="1" applyNumberFormat="1" applyFont="1" applyFill="1" applyAlignment="1"/>
    <xf numFmtId="41" fontId="1" fillId="3" borderId="0" xfId="2" applyNumberFormat="1" applyFont="1" applyFill="1" applyAlignment="1"/>
    <xf numFmtId="41" fontId="1" fillId="3" borderId="1" xfId="1" applyNumberFormat="1" applyFont="1" applyFill="1" applyBorder="1" applyAlignment="1"/>
    <xf numFmtId="42" fontId="1" fillId="3" borderId="0" xfId="1" applyNumberFormat="1" applyFill="1" applyAlignment="1"/>
    <xf numFmtId="41" fontId="0" fillId="3" borderId="1" xfId="0" applyNumberFormat="1" applyFill="1" applyBorder="1" applyAlignment="1"/>
    <xf numFmtId="44" fontId="0" fillId="3" borderId="1" xfId="0" applyNumberFormat="1" applyFill="1" applyBorder="1" applyAlignment="1"/>
    <xf numFmtId="164" fontId="1" fillId="3" borderId="0" xfId="2" applyNumberFormat="1" applyFill="1" applyAlignment="1"/>
    <xf numFmtId="0" fontId="0" fillId="3" borderId="1" xfId="0" applyNumberFormat="1" applyFill="1" applyBorder="1" applyAlignment="1">
      <alignment horizontal="center"/>
    </xf>
    <xf numFmtId="37" fontId="3" fillId="2" borderId="2" xfId="2" applyNumberFormat="1" applyFont="1" applyFill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1" applyNumberFormat="1" applyFont="1" applyFill="1"/>
    <xf numFmtId="164" fontId="0" fillId="3" borderId="1" xfId="1" applyNumberFormat="1" applyFont="1" applyFill="1" applyBorder="1"/>
    <xf numFmtId="0" fontId="3" fillId="2" borderId="0" xfId="0" applyFont="1" applyFill="1"/>
    <xf numFmtId="164" fontId="3" fillId="2" borderId="0" xfId="1" applyNumberFormat="1" applyFont="1" applyFill="1"/>
    <xf numFmtId="164" fontId="3" fillId="2" borderId="0" xfId="0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9" fontId="5" fillId="4" borderId="0" xfId="3" applyFont="1" applyFill="1"/>
    <xf numFmtId="165" fontId="0" fillId="3" borderId="0" xfId="2" applyNumberFormat="1" applyFont="1" applyFill="1" applyAlignment="1">
      <alignment horizontal="center"/>
    </xf>
    <xf numFmtId="165" fontId="0" fillId="3" borderId="0" xfId="2" applyNumberFormat="1" applyFont="1" applyFill="1"/>
    <xf numFmtId="164" fontId="0" fillId="3" borderId="0" xfId="1" applyNumberFormat="1" applyFont="1" applyFill="1" applyAlignment="1">
      <alignment horizontal="left" indent="1"/>
    </xf>
    <xf numFmtId="164" fontId="0" fillId="3" borderId="1" xfId="1" applyNumberFormat="1" applyFont="1" applyFill="1" applyBorder="1" applyAlignment="1">
      <alignment horizontal="left" indent="1"/>
    </xf>
    <xf numFmtId="0" fontId="6" fillId="4" borderId="0" xfId="0" applyFont="1" applyFill="1" applyAlignment="1">
      <alignment horizontal="center"/>
    </xf>
    <xf numFmtId="165" fontId="0" fillId="4" borderId="0" xfId="2" applyNumberFormat="1" applyFont="1" applyFill="1"/>
    <xf numFmtId="165" fontId="3" fillId="2" borderId="0" xfId="2" applyNumberFormat="1" applyFont="1" applyFill="1"/>
    <xf numFmtId="165" fontId="3" fillId="2" borderId="0" xfId="2" applyNumberFormat="1" applyFont="1" applyFill="1" applyAlignment="1">
      <alignment horizontal="center"/>
    </xf>
    <xf numFmtId="0" fontId="2" fillId="0" borderId="0" xfId="0" applyFont="1" applyFill="1" applyBorder="1"/>
    <xf numFmtId="164" fontId="1" fillId="0" borderId="0" xfId="1" applyNumberFormat="1" applyFill="1"/>
    <xf numFmtId="3" fontId="1" fillId="0" borderId="0" xfId="1" applyNumberFormat="1" applyFill="1" applyAlignment="1">
      <alignment horizontal="center"/>
    </xf>
    <xf numFmtId="0" fontId="0" fillId="0" borderId="0" xfId="0" applyFill="1" applyAlignment="1">
      <alignment horizontal="center"/>
    </xf>
    <xf numFmtId="42" fontId="0" fillId="0" borderId="0" xfId="0" applyNumberForma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A59" sqref="A59:XFD59"/>
    </sheetView>
  </sheetViews>
  <sheetFormatPr defaultRowHeight="12.75" x14ac:dyDescent="0.2"/>
  <cols>
    <col min="1" max="1" width="92.85546875" customWidth="1"/>
  </cols>
  <sheetData>
    <row r="1" spans="1:1" s="6" customFormat="1" ht="15" x14ac:dyDescent="0.25">
      <c r="A1" s="304" t="s">
        <v>99</v>
      </c>
    </row>
    <row r="2" spans="1:1" ht="15" x14ac:dyDescent="0.25">
      <c r="A2" s="294"/>
    </row>
    <row r="3" spans="1:1" ht="15" x14ac:dyDescent="0.25">
      <c r="A3" s="295" t="s">
        <v>68</v>
      </c>
    </row>
    <row r="4" spans="1:1" ht="14.25" x14ac:dyDescent="0.2">
      <c r="A4" s="296"/>
    </row>
    <row r="5" spans="1:1" ht="15" x14ac:dyDescent="0.25">
      <c r="A5" s="294" t="s">
        <v>97</v>
      </c>
    </row>
    <row r="6" spans="1:1" ht="14.25" x14ac:dyDescent="0.2">
      <c r="A6" s="296" t="s">
        <v>69</v>
      </c>
    </row>
    <row r="7" spans="1:1" ht="29.25" x14ac:dyDescent="0.2">
      <c r="A7" s="297" t="s">
        <v>70</v>
      </c>
    </row>
    <row r="8" spans="1:1" ht="15" x14ac:dyDescent="0.25">
      <c r="A8" s="298" t="s">
        <v>71</v>
      </c>
    </row>
    <row r="9" spans="1:1" ht="14.25" x14ac:dyDescent="0.2">
      <c r="A9" s="296"/>
    </row>
    <row r="10" spans="1:1" ht="15" x14ac:dyDescent="0.25">
      <c r="A10" s="294" t="s">
        <v>100</v>
      </c>
    </row>
    <row r="11" spans="1:1" ht="14.25" x14ac:dyDescent="0.2">
      <c r="A11" s="296" t="s">
        <v>72</v>
      </c>
    </row>
    <row r="12" spans="1:1" ht="29.25" x14ac:dyDescent="0.2">
      <c r="A12" s="297" t="s">
        <v>73</v>
      </c>
    </row>
    <row r="13" spans="1:1" ht="14.25" x14ac:dyDescent="0.2">
      <c r="A13" s="296"/>
    </row>
    <row r="14" spans="1:1" ht="15" hidden="1" x14ac:dyDescent="0.25">
      <c r="A14" s="294" t="s">
        <v>74</v>
      </c>
    </row>
    <row r="15" spans="1:1" ht="28.5" hidden="1" x14ac:dyDescent="0.2">
      <c r="A15" s="299" t="s">
        <v>75</v>
      </c>
    </row>
    <row r="16" spans="1:1" ht="15" hidden="1" x14ac:dyDescent="0.25">
      <c r="A16" s="294"/>
    </row>
    <row r="17" spans="1:1" ht="15" hidden="1" x14ac:dyDescent="0.25">
      <c r="A17" s="294" t="s">
        <v>76</v>
      </c>
    </row>
    <row r="18" spans="1:1" ht="28.5" hidden="1" x14ac:dyDescent="0.2">
      <c r="A18" s="299" t="s">
        <v>77</v>
      </c>
    </row>
    <row r="19" spans="1:1" ht="14.25" hidden="1" x14ac:dyDescent="0.2">
      <c r="A19" s="296"/>
    </row>
    <row r="20" spans="1:1" ht="14.25" hidden="1" x14ac:dyDescent="0.2">
      <c r="A20" s="296"/>
    </row>
    <row r="21" spans="1:1" ht="15" hidden="1" x14ac:dyDescent="0.25">
      <c r="A21" s="295" t="s">
        <v>78</v>
      </c>
    </row>
    <row r="22" spans="1:1" ht="14.25" hidden="1" x14ac:dyDescent="0.2">
      <c r="A22" s="296"/>
    </row>
    <row r="23" spans="1:1" ht="15" hidden="1" x14ac:dyDescent="0.25">
      <c r="A23" s="294" t="s">
        <v>101</v>
      </c>
    </row>
    <row r="24" spans="1:1" ht="28.5" hidden="1" x14ac:dyDescent="0.2">
      <c r="A24" s="299" t="s">
        <v>79</v>
      </c>
    </row>
    <row r="25" spans="1:1" ht="14.25" hidden="1" x14ac:dyDescent="0.2">
      <c r="A25" s="296"/>
    </row>
    <row r="26" spans="1:1" ht="15" hidden="1" x14ac:dyDescent="0.25">
      <c r="A26" s="294" t="s">
        <v>80</v>
      </c>
    </row>
    <row r="27" spans="1:1" ht="28.5" hidden="1" x14ac:dyDescent="0.2">
      <c r="A27" s="299" t="s">
        <v>81</v>
      </c>
    </row>
    <row r="28" spans="1:1" ht="14.25" hidden="1" x14ac:dyDescent="0.2">
      <c r="A28" s="296"/>
    </row>
    <row r="29" spans="1:1" ht="15" hidden="1" x14ac:dyDescent="0.25">
      <c r="A29" s="294" t="s">
        <v>102</v>
      </c>
    </row>
    <row r="30" spans="1:1" ht="42.75" hidden="1" x14ac:dyDescent="0.2">
      <c r="A30" s="299" t="s">
        <v>82</v>
      </c>
    </row>
    <row r="31" spans="1:1" ht="14.25" hidden="1" x14ac:dyDescent="0.2">
      <c r="A31" s="296"/>
    </row>
    <row r="32" spans="1:1" ht="15" hidden="1" x14ac:dyDescent="0.25">
      <c r="A32" s="294" t="s">
        <v>103</v>
      </c>
    </row>
    <row r="33" spans="1:1" ht="28.5" hidden="1" x14ac:dyDescent="0.2">
      <c r="A33" s="299" t="s">
        <v>83</v>
      </c>
    </row>
    <row r="34" spans="1:1" ht="14.25" hidden="1" x14ac:dyDescent="0.2">
      <c r="A34" s="296"/>
    </row>
    <row r="35" spans="1:1" ht="15" hidden="1" x14ac:dyDescent="0.25">
      <c r="A35" s="294" t="s">
        <v>104</v>
      </c>
    </row>
    <row r="36" spans="1:1" ht="28.5" hidden="1" x14ac:dyDescent="0.2">
      <c r="A36" s="299" t="s">
        <v>84</v>
      </c>
    </row>
    <row r="37" spans="1:1" ht="14.25" hidden="1" x14ac:dyDescent="0.2">
      <c r="A37" s="296"/>
    </row>
    <row r="38" spans="1:1" ht="30" hidden="1" x14ac:dyDescent="0.25">
      <c r="A38" s="300" t="s">
        <v>85</v>
      </c>
    </row>
    <row r="39" spans="1:1" ht="15" hidden="1" x14ac:dyDescent="0.25">
      <c r="A39" s="298" t="s">
        <v>105</v>
      </c>
    </row>
    <row r="40" spans="1:1" ht="28.5" hidden="1" x14ac:dyDescent="0.2">
      <c r="A40" s="301" t="s">
        <v>86</v>
      </c>
    </row>
    <row r="41" spans="1:1" ht="14.25" hidden="1" x14ac:dyDescent="0.2">
      <c r="A41" s="296"/>
    </row>
    <row r="42" spans="1:1" ht="15" hidden="1" x14ac:dyDescent="0.25">
      <c r="A42" s="298" t="s">
        <v>106</v>
      </c>
    </row>
    <row r="43" spans="1:1" ht="28.5" hidden="1" x14ac:dyDescent="0.2">
      <c r="A43" s="301" t="s">
        <v>87</v>
      </c>
    </row>
    <row r="44" spans="1:1" ht="14.25" hidden="1" x14ac:dyDescent="0.2">
      <c r="A44" s="296"/>
    </row>
    <row r="45" spans="1:1" ht="15" hidden="1" x14ac:dyDescent="0.25">
      <c r="A45" s="298" t="s">
        <v>88</v>
      </c>
    </row>
    <row r="46" spans="1:1" ht="28.5" hidden="1" x14ac:dyDescent="0.2">
      <c r="A46" s="301" t="s">
        <v>89</v>
      </c>
    </row>
    <row r="47" spans="1:1" ht="14.25" hidden="1" x14ac:dyDescent="0.2">
      <c r="A47" s="296"/>
    </row>
    <row r="48" spans="1:1" ht="15" hidden="1" x14ac:dyDescent="0.25">
      <c r="A48" s="298" t="s">
        <v>90</v>
      </c>
    </row>
    <row r="49" spans="1:1" ht="28.5" hidden="1" x14ac:dyDescent="0.2">
      <c r="A49" s="301" t="s">
        <v>91</v>
      </c>
    </row>
    <row r="50" spans="1:1" ht="14.25" hidden="1" x14ac:dyDescent="0.2">
      <c r="A50" s="296"/>
    </row>
    <row r="51" spans="1:1" ht="14.25" hidden="1" x14ac:dyDescent="0.2">
      <c r="A51" s="296"/>
    </row>
    <row r="52" spans="1:1" ht="14.25" x14ac:dyDescent="0.2">
      <c r="A52" s="296"/>
    </row>
    <row r="53" spans="1:1" ht="15" x14ac:dyDescent="0.25">
      <c r="A53" s="295" t="s">
        <v>92</v>
      </c>
    </row>
    <row r="54" spans="1:1" ht="15" x14ac:dyDescent="0.25">
      <c r="A54" s="294"/>
    </row>
    <row r="55" spans="1:1" ht="15" x14ac:dyDescent="0.25">
      <c r="A55" s="298" t="s">
        <v>93</v>
      </c>
    </row>
    <row r="56" spans="1:1" ht="14.25" x14ac:dyDescent="0.2">
      <c r="A56" s="302"/>
    </row>
    <row r="57" spans="1:1" ht="43.5" x14ac:dyDescent="0.2">
      <c r="A57" s="297" t="s">
        <v>94</v>
      </c>
    </row>
    <row r="58" spans="1:1" ht="14.25" x14ac:dyDescent="0.2">
      <c r="A58" s="303"/>
    </row>
    <row r="59" spans="1:1" ht="29.25" hidden="1" x14ac:dyDescent="0.2">
      <c r="A59" s="297" t="s">
        <v>95</v>
      </c>
    </row>
    <row r="60" spans="1:1" ht="14.25" x14ac:dyDescent="0.2">
      <c r="A60" s="303"/>
    </row>
    <row r="61" spans="1:1" ht="29.25" hidden="1" x14ac:dyDescent="0.2">
      <c r="A61" s="297" t="s">
        <v>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9"/>
  <sheetViews>
    <sheetView tabSelected="1" zoomScaleNormal="100" workbookViewId="0">
      <pane xSplit="1" topLeftCell="B1" activePane="topRight" state="frozen"/>
      <selection pane="topRight" activeCell="G2" sqref="G2"/>
    </sheetView>
  </sheetViews>
  <sheetFormatPr defaultRowHeight="12.75" x14ac:dyDescent="0.2"/>
  <cols>
    <col min="1" max="1" width="42.5703125" style="203" customWidth="1"/>
    <col min="2" max="2" width="5.5703125" style="88" bestFit="1" customWidth="1"/>
    <col min="3" max="3" width="11.28515625" bestFit="1" customWidth="1"/>
    <col min="4" max="4" width="6.5703125" style="88" bestFit="1" customWidth="1"/>
    <col min="5" max="5" width="11.85546875" customWidth="1"/>
    <col min="6" max="6" width="6.5703125" style="88" bestFit="1" customWidth="1"/>
    <col min="7" max="7" width="11.85546875" customWidth="1"/>
    <col min="8" max="8" width="6.5703125" style="96" bestFit="1" customWidth="1"/>
    <col min="9" max="9" width="12.42578125" customWidth="1"/>
    <col min="10" max="10" width="6.5703125" style="96" bestFit="1" customWidth="1"/>
    <col min="11" max="11" width="11.7109375" customWidth="1"/>
    <col min="12" max="12" width="6.5703125" style="88" bestFit="1" customWidth="1"/>
    <col min="13" max="13" width="11.85546875" customWidth="1"/>
    <col min="14" max="14" width="6.42578125" style="88" customWidth="1"/>
    <col min="15" max="15" width="11.28515625" style="26" customWidth="1"/>
    <col min="16" max="16" width="6.5703125" style="90" bestFit="1" customWidth="1"/>
    <col min="17" max="17" width="11.28515625" customWidth="1"/>
    <col min="18" max="18" width="6.5703125" style="96" customWidth="1"/>
    <col min="19" max="19" width="11.28515625" style="6" customWidth="1"/>
    <col min="20" max="20" width="6.5703125" style="88" customWidth="1"/>
    <col min="21" max="21" width="11.28515625" style="71" customWidth="1"/>
    <col min="22" max="22" width="6.42578125" style="88" customWidth="1"/>
    <col min="23" max="23" width="12.42578125" style="6" customWidth="1"/>
    <col min="24" max="24" width="6.5703125" style="88" customWidth="1"/>
    <col min="25" max="25" width="11.5703125" style="6" customWidth="1"/>
    <col min="26" max="26" width="9" style="88" customWidth="1"/>
    <col min="27" max="27" width="12.28515625" style="6" bestFit="1" customWidth="1"/>
  </cols>
  <sheetData>
    <row r="2" spans="1:27" ht="18" x14ac:dyDescent="0.25">
      <c r="A2" s="202" t="s">
        <v>66</v>
      </c>
    </row>
    <row r="3" spans="1:27" ht="18" x14ac:dyDescent="0.25">
      <c r="A3" s="202"/>
    </row>
    <row r="4" spans="1:27" s="6" customFormat="1" x14ac:dyDescent="0.2">
      <c r="B4" s="225"/>
      <c r="C4" s="266" t="s">
        <v>21</v>
      </c>
      <c r="D4" s="88"/>
      <c r="E4" s="268" t="s">
        <v>22</v>
      </c>
      <c r="F4" s="225"/>
      <c r="G4" s="266" t="s">
        <v>23</v>
      </c>
      <c r="H4" s="88"/>
      <c r="I4" s="268" t="s">
        <v>24</v>
      </c>
      <c r="J4" s="225"/>
      <c r="K4" s="266" t="s">
        <v>25</v>
      </c>
      <c r="L4" s="88"/>
      <c r="M4" s="268" t="s">
        <v>20</v>
      </c>
      <c r="N4" s="225"/>
      <c r="O4" s="271" t="s">
        <v>4</v>
      </c>
      <c r="P4" s="90"/>
      <c r="Q4" s="268" t="s">
        <v>5</v>
      </c>
      <c r="R4" s="225"/>
      <c r="S4" s="266" t="s">
        <v>6</v>
      </c>
      <c r="T4" s="88"/>
      <c r="U4" s="269" t="s">
        <v>7</v>
      </c>
      <c r="V4" s="225"/>
      <c r="W4" s="266" t="s">
        <v>8</v>
      </c>
      <c r="X4" s="88"/>
      <c r="Y4" s="268" t="s">
        <v>9</v>
      </c>
      <c r="Z4" s="272" t="s">
        <v>29</v>
      </c>
      <c r="AA4" s="273" t="s">
        <v>29</v>
      </c>
    </row>
    <row r="5" spans="1:27" x14ac:dyDescent="0.2">
      <c r="B5" s="225" t="s">
        <v>38</v>
      </c>
      <c r="C5" s="266" t="s">
        <v>67</v>
      </c>
      <c r="D5" s="88" t="s">
        <v>38</v>
      </c>
      <c r="E5" s="268" t="s">
        <v>67</v>
      </c>
      <c r="F5" s="225" t="s">
        <v>38</v>
      </c>
      <c r="G5" s="266" t="s">
        <v>67</v>
      </c>
      <c r="H5" s="88" t="s">
        <v>38</v>
      </c>
      <c r="I5" s="268" t="s">
        <v>67</v>
      </c>
      <c r="J5" s="225" t="s">
        <v>38</v>
      </c>
      <c r="K5" s="266" t="s">
        <v>67</v>
      </c>
      <c r="L5" s="88" t="s">
        <v>38</v>
      </c>
      <c r="M5" s="268" t="s">
        <v>67</v>
      </c>
      <c r="N5" s="225" t="s">
        <v>38</v>
      </c>
      <c r="O5" s="271" t="s">
        <v>67</v>
      </c>
      <c r="P5" s="88" t="s">
        <v>38</v>
      </c>
      <c r="Q5" s="267" t="s">
        <v>67</v>
      </c>
      <c r="R5" s="225" t="s">
        <v>38</v>
      </c>
      <c r="S5" s="266" t="s">
        <v>67</v>
      </c>
      <c r="T5" s="88" t="s">
        <v>38</v>
      </c>
      <c r="U5" s="270" t="s">
        <v>67</v>
      </c>
      <c r="V5" s="225" t="s">
        <v>38</v>
      </c>
      <c r="W5" s="266" t="s">
        <v>67</v>
      </c>
      <c r="X5" s="88" t="s">
        <v>38</v>
      </c>
      <c r="Y5" s="268" t="s">
        <v>67</v>
      </c>
      <c r="Z5" s="272" t="s">
        <v>38</v>
      </c>
      <c r="AA5" s="274" t="s">
        <v>52</v>
      </c>
    </row>
    <row r="6" spans="1:27" x14ac:dyDescent="0.2">
      <c r="A6" s="169" t="s">
        <v>61</v>
      </c>
      <c r="B6" s="225"/>
      <c r="C6" s="227"/>
      <c r="D6" s="90"/>
      <c r="E6" s="26"/>
      <c r="F6" s="247"/>
      <c r="G6" s="248"/>
      <c r="H6" s="98"/>
      <c r="J6" s="255"/>
      <c r="K6" s="227"/>
      <c r="N6" s="225"/>
      <c r="O6" s="248"/>
      <c r="R6" s="255"/>
      <c r="S6" s="226"/>
      <c r="U6" s="77"/>
      <c r="V6" s="247"/>
      <c r="W6" s="262"/>
      <c r="X6" s="90"/>
      <c r="Z6" s="272"/>
      <c r="AA6" s="273"/>
    </row>
    <row r="7" spans="1:27" s="176" customFormat="1" ht="13.5" thickBot="1" x14ac:dyDescent="0.25">
      <c r="A7" s="169" t="s">
        <v>62</v>
      </c>
      <c r="B7" s="228">
        <v>9748</v>
      </c>
      <c r="C7" s="229"/>
      <c r="D7" s="177">
        <v>11048</v>
      </c>
      <c r="E7" s="178"/>
      <c r="F7" s="249">
        <v>9774</v>
      </c>
      <c r="G7" s="231"/>
      <c r="H7" s="177">
        <v>10043</v>
      </c>
      <c r="J7" s="228">
        <v>9408</v>
      </c>
      <c r="K7" s="229"/>
      <c r="L7" s="175">
        <v>10986</v>
      </c>
      <c r="N7" s="228">
        <v>10996</v>
      </c>
      <c r="O7" s="229"/>
      <c r="P7" s="175">
        <v>11020</v>
      </c>
      <c r="R7" s="228">
        <v>10960</v>
      </c>
      <c r="S7" s="229"/>
      <c r="T7" s="175">
        <v>11099</v>
      </c>
      <c r="V7" s="228">
        <v>10623</v>
      </c>
      <c r="W7" s="229"/>
      <c r="X7" s="175">
        <v>10281</v>
      </c>
      <c r="Z7" s="275">
        <f>B7+D7+F7+H7+J7+L7+N7+P7+R7+T7+V7+X7</f>
        <v>125986</v>
      </c>
      <c r="AA7" s="276"/>
    </row>
    <row r="8" spans="1:27" s="176" customFormat="1" ht="13.5" thickTop="1" x14ac:dyDescent="0.2">
      <c r="A8" s="4" t="s">
        <v>57</v>
      </c>
      <c r="B8" s="230"/>
      <c r="C8" s="231">
        <v>147668.59</v>
      </c>
      <c r="D8" s="174"/>
      <c r="E8" s="180">
        <v>166377.95000000001</v>
      </c>
      <c r="F8" s="250"/>
      <c r="G8" s="251">
        <v>152353.24</v>
      </c>
      <c r="H8" s="174"/>
      <c r="I8" s="180">
        <v>154167.34</v>
      </c>
      <c r="J8" s="250"/>
      <c r="K8" s="251">
        <v>142511.37</v>
      </c>
      <c r="L8" s="174"/>
      <c r="M8" s="66">
        <v>156204.51999999999</v>
      </c>
      <c r="N8" s="230"/>
      <c r="O8" s="231">
        <v>161235.51</v>
      </c>
      <c r="P8" s="174"/>
      <c r="Q8" s="178">
        <v>161772.35</v>
      </c>
      <c r="R8" s="250"/>
      <c r="S8" s="231">
        <v>164985.49</v>
      </c>
      <c r="T8" s="174"/>
      <c r="U8" s="178">
        <v>167866.19</v>
      </c>
      <c r="V8" s="250"/>
      <c r="W8" s="231">
        <v>167349.53</v>
      </c>
      <c r="X8" s="174"/>
      <c r="Y8" s="181">
        <v>154419.03</v>
      </c>
      <c r="Z8" s="277"/>
      <c r="AA8" s="278">
        <f>SUM(C8:Y8)</f>
        <v>1896911.11</v>
      </c>
    </row>
    <row r="9" spans="1:27" s="176" customFormat="1" x14ac:dyDescent="0.2">
      <c r="A9" s="4" t="s">
        <v>34</v>
      </c>
      <c r="B9" s="232"/>
      <c r="C9" s="233">
        <v>19925.16</v>
      </c>
      <c r="D9" s="184"/>
      <c r="E9" s="183">
        <v>22066</v>
      </c>
      <c r="F9" s="252"/>
      <c r="G9" s="233">
        <v>19260.18</v>
      </c>
      <c r="H9" s="184"/>
      <c r="I9" s="183">
        <v>15507.6</v>
      </c>
      <c r="J9" s="252"/>
      <c r="K9" s="233">
        <v>14068.52</v>
      </c>
      <c r="L9" s="184"/>
      <c r="M9" s="67">
        <v>16799.37</v>
      </c>
      <c r="N9" s="232"/>
      <c r="O9" s="257">
        <v>16562.72</v>
      </c>
      <c r="P9" s="184"/>
      <c r="Q9" s="185">
        <v>16387.41</v>
      </c>
      <c r="R9" s="252"/>
      <c r="S9" s="257">
        <v>16337.92</v>
      </c>
      <c r="T9" s="184"/>
      <c r="U9" s="185">
        <v>16261.3</v>
      </c>
      <c r="V9" s="252"/>
      <c r="W9" s="257">
        <v>15718.31</v>
      </c>
      <c r="X9" s="184"/>
      <c r="Y9" s="183">
        <v>14557.68</v>
      </c>
      <c r="Z9" s="279"/>
      <c r="AA9" s="280">
        <f>SUM(C9:Y9)</f>
        <v>203452.16999999998</v>
      </c>
    </row>
    <row r="10" spans="1:27" s="176" customFormat="1" x14ac:dyDescent="0.2">
      <c r="A10" s="169" t="s">
        <v>63</v>
      </c>
      <c r="B10" s="234"/>
      <c r="C10" s="235">
        <f>SUM(C8:C9)</f>
        <v>167593.75</v>
      </c>
      <c r="D10" s="220"/>
      <c r="E10" s="210">
        <f>SUM(E8:E9)</f>
        <v>188443.95</v>
      </c>
      <c r="F10" s="253"/>
      <c r="G10" s="235">
        <f>SUM(G8:G9)</f>
        <v>171613.41999999998</v>
      </c>
      <c r="H10" s="220"/>
      <c r="I10" s="210">
        <f>SUM(I8:I9)</f>
        <v>169674.94</v>
      </c>
      <c r="J10" s="253"/>
      <c r="K10" s="235">
        <f>SUM(K8:K9)</f>
        <v>156579.88999999998</v>
      </c>
      <c r="L10" s="220"/>
      <c r="M10" s="210">
        <f>SUM(M8:M9)</f>
        <v>173003.88999999998</v>
      </c>
      <c r="N10" s="253"/>
      <c r="O10" s="235">
        <f>SUM(O8:O9)</f>
        <v>177798.23</v>
      </c>
      <c r="P10" s="220"/>
      <c r="Q10" s="210">
        <f>SUM(Q8:Q9)</f>
        <v>178159.76</v>
      </c>
      <c r="R10" s="253"/>
      <c r="S10" s="235">
        <f>SUM(S8:S9)</f>
        <v>181323.41</v>
      </c>
      <c r="T10" s="220"/>
      <c r="U10" s="221">
        <f>U8+U9</f>
        <v>184127.49</v>
      </c>
      <c r="V10" s="253"/>
      <c r="W10" s="263">
        <f>W8+W9</f>
        <v>183067.84</v>
      </c>
      <c r="X10" s="220"/>
      <c r="Y10" s="222">
        <f>SUM(Y8:Y9)</f>
        <v>168976.71</v>
      </c>
      <c r="Z10" s="281"/>
      <c r="AA10" s="282">
        <f>SUM(C10,E10,G10,I10,K10,M10,O10,Q10,S10,U10,W10,Y10)</f>
        <v>2100363.2800000003</v>
      </c>
    </row>
    <row r="11" spans="1:27" s="176" customFormat="1" x14ac:dyDescent="0.2">
      <c r="A11" s="203"/>
      <c r="B11" s="230"/>
      <c r="C11" s="231"/>
      <c r="D11" s="179"/>
      <c r="F11" s="230"/>
      <c r="G11" s="229"/>
      <c r="H11" s="179"/>
      <c r="J11" s="230"/>
      <c r="K11" s="229"/>
      <c r="L11" s="179"/>
      <c r="N11" s="230"/>
      <c r="O11" s="258"/>
      <c r="P11" s="188"/>
      <c r="R11" s="230"/>
      <c r="S11" s="229"/>
      <c r="T11" s="179"/>
      <c r="U11" s="189"/>
      <c r="V11" s="264"/>
      <c r="W11" s="229"/>
      <c r="X11" s="179"/>
      <c r="Z11" s="277"/>
      <c r="AA11" s="276"/>
    </row>
    <row r="12" spans="1:27" s="190" customFormat="1" x14ac:dyDescent="0.2">
      <c r="A12" s="205" t="s">
        <v>64</v>
      </c>
      <c r="B12" s="236"/>
      <c r="C12" s="237"/>
      <c r="D12" s="173"/>
      <c r="F12" s="250"/>
      <c r="G12" s="254"/>
      <c r="H12" s="173"/>
      <c r="J12" s="256"/>
      <c r="K12" s="254"/>
      <c r="L12" s="173"/>
      <c r="N12" s="256"/>
      <c r="O12" s="259"/>
      <c r="P12" s="172"/>
      <c r="R12" s="256"/>
      <c r="S12" s="254"/>
      <c r="T12" s="173"/>
      <c r="U12" s="191"/>
      <c r="V12" s="236"/>
      <c r="W12" s="259"/>
      <c r="X12" s="173"/>
      <c r="Z12" s="283"/>
      <c r="AA12" s="284"/>
    </row>
    <row r="13" spans="1:27" s="224" customFormat="1" x14ac:dyDescent="0.2">
      <c r="A13" s="311" t="s">
        <v>112</v>
      </c>
      <c r="B13" s="238">
        <v>2496</v>
      </c>
      <c r="C13" s="239">
        <v>79515.460000000006</v>
      </c>
      <c r="D13" s="224">
        <v>2811</v>
      </c>
      <c r="E13" s="223">
        <v>90310.03</v>
      </c>
      <c r="F13" s="238">
        <v>2690</v>
      </c>
      <c r="G13" s="239">
        <v>92148.64</v>
      </c>
      <c r="H13" s="224">
        <v>2483</v>
      </c>
      <c r="I13" s="223">
        <v>89613.16</v>
      </c>
      <c r="J13" s="238">
        <v>2521</v>
      </c>
      <c r="K13" s="239">
        <v>86729.06</v>
      </c>
      <c r="L13" s="224">
        <v>2559</v>
      </c>
      <c r="M13" s="223">
        <v>88480.52</v>
      </c>
      <c r="N13" s="238"/>
      <c r="O13" s="239"/>
      <c r="Q13" s="223"/>
      <c r="R13" s="238"/>
      <c r="S13" s="239"/>
      <c r="U13" s="223"/>
      <c r="V13" s="238"/>
      <c r="W13" s="239"/>
      <c r="Y13" s="223"/>
      <c r="Z13" s="285">
        <f t="shared" ref="Z13:Z18" si="0">SUM(B13+D13+F13+H13+J13+L13+N13+P13+R13+T13+V13+X13)</f>
        <v>15560</v>
      </c>
      <c r="AA13" s="286">
        <f t="shared" ref="AA13:AA20" si="1">SUM(C13,E13,G13,I13,K13,M13,O13,Q13,S13,U13,W13,Y13)</f>
        <v>526796.87</v>
      </c>
    </row>
    <row r="14" spans="1:27" s="224" customFormat="1" x14ac:dyDescent="0.2">
      <c r="A14" s="311" t="s">
        <v>108</v>
      </c>
      <c r="B14" s="238"/>
      <c r="C14" s="239"/>
      <c r="E14" s="223"/>
      <c r="F14" s="238"/>
      <c r="G14" s="239"/>
      <c r="I14" s="223"/>
      <c r="J14" s="238"/>
      <c r="K14" s="239"/>
      <c r="M14" s="223"/>
      <c r="N14" s="238">
        <v>2561</v>
      </c>
      <c r="O14" s="239">
        <v>88421.25</v>
      </c>
      <c r="P14" s="224">
        <v>2557</v>
      </c>
      <c r="Q14" s="223">
        <v>85542.39</v>
      </c>
      <c r="R14" s="238">
        <v>2781</v>
      </c>
      <c r="S14" s="239">
        <v>97219.17</v>
      </c>
      <c r="T14" s="224">
        <v>2758</v>
      </c>
      <c r="U14" s="223">
        <v>92144.93</v>
      </c>
      <c r="V14" s="238">
        <v>2911</v>
      </c>
      <c r="W14" s="239">
        <v>102961.92</v>
      </c>
      <c r="X14" s="224">
        <v>2694</v>
      </c>
      <c r="Y14" s="223">
        <v>95076.63</v>
      </c>
      <c r="Z14" s="285">
        <f t="shared" si="0"/>
        <v>16262</v>
      </c>
      <c r="AA14" s="286">
        <f t="shared" si="1"/>
        <v>561366.29</v>
      </c>
    </row>
    <row r="15" spans="1:27" s="224" customFormat="1" x14ac:dyDescent="0.2">
      <c r="A15" s="311" t="s">
        <v>109</v>
      </c>
      <c r="B15" s="238"/>
      <c r="C15" s="239"/>
      <c r="E15" s="223"/>
      <c r="F15" s="238"/>
      <c r="G15" s="239"/>
      <c r="I15" s="223"/>
      <c r="J15" s="238"/>
      <c r="K15" s="239"/>
      <c r="M15" s="223"/>
      <c r="N15" s="238">
        <v>40</v>
      </c>
      <c r="O15" s="239">
        <v>4312.38</v>
      </c>
      <c r="P15" s="224">
        <v>65</v>
      </c>
      <c r="Q15" s="223">
        <v>7100.61</v>
      </c>
      <c r="R15" s="238">
        <v>65</v>
      </c>
      <c r="S15" s="239">
        <v>7572.95</v>
      </c>
      <c r="T15" s="224">
        <v>32</v>
      </c>
      <c r="U15" s="223">
        <v>3164.99</v>
      </c>
      <c r="V15" s="238">
        <v>55</v>
      </c>
      <c r="W15" s="239">
        <v>5850.67</v>
      </c>
      <c r="X15" s="224">
        <v>37</v>
      </c>
      <c r="Y15" s="223">
        <v>5827.53</v>
      </c>
      <c r="Z15" s="285">
        <f>SUM(B15+D15+F15+H15+J15+L15+N15+P15+R15+T15+V15+X15)</f>
        <v>294</v>
      </c>
      <c r="AA15" s="286">
        <f>SUM(C15,E15,G15,I15,K15,M15,O15,Q15,S15,U15,W15,Y15)</f>
        <v>33829.129999999997</v>
      </c>
    </row>
    <row r="16" spans="1:27" s="224" customFormat="1" x14ac:dyDescent="0.2">
      <c r="A16" s="311" t="s">
        <v>110</v>
      </c>
      <c r="B16" s="238"/>
      <c r="C16" s="239"/>
      <c r="E16" s="223"/>
      <c r="F16" s="238"/>
      <c r="G16" s="239"/>
      <c r="I16" s="223"/>
      <c r="J16" s="238"/>
      <c r="K16" s="239"/>
      <c r="M16" s="223"/>
      <c r="N16" s="238">
        <v>3389</v>
      </c>
      <c r="O16" s="239">
        <v>195687.83</v>
      </c>
      <c r="P16" s="224">
        <v>3586</v>
      </c>
      <c r="Q16" s="223">
        <v>231305.01</v>
      </c>
      <c r="R16" s="238">
        <v>3687</v>
      </c>
      <c r="S16" s="239">
        <v>242145.8</v>
      </c>
      <c r="T16" s="224">
        <v>3589</v>
      </c>
      <c r="U16" s="223">
        <v>246192.98</v>
      </c>
      <c r="V16" s="238">
        <v>3559</v>
      </c>
      <c r="W16" s="239">
        <v>261600.2</v>
      </c>
      <c r="X16" s="224">
        <v>3326</v>
      </c>
      <c r="Y16" s="223">
        <v>280708.58</v>
      </c>
      <c r="Z16" s="285">
        <f>SUM(B16+D16+F16+H16+J16+L16+N16+P16+R16+T16+V16+X16)</f>
        <v>21136</v>
      </c>
      <c r="AA16" s="286">
        <f>SUM(C16,E16,G16,I16,K16,M16,O16,Q16,S16,U16,W16,Y16)</f>
        <v>1457640.4</v>
      </c>
    </row>
    <row r="17" spans="1:30" s="176" customFormat="1" x14ac:dyDescent="0.2">
      <c r="A17" s="203" t="s">
        <v>114</v>
      </c>
      <c r="B17" s="232">
        <v>6083</v>
      </c>
      <c r="C17" s="231">
        <v>234123</v>
      </c>
      <c r="D17" s="182">
        <v>6884</v>
      </c>
      <c r="E17" s="178">
        <v>278019.18</v>
      </c>
      <c r="F17" s="232">
        <v>6525</v>
      </c>
      <c r="G17" s="231">
        <v>257077.32</v>
      </c>
      <c r="H17" s="182">
        <v>6733</v>
      </c>
      <c r="I17" s="178">
        <v>262740</v>
      </c>
      <c r="J17" s="232">
        <v>6667</v>
      </c>
      <c r="K17" s="231">
        <v>250229.21</v>
      </c>
      <c r="L17" s="182">
        <v>7217</v>
      </c>
      <c r="M17" s="178">
        <v>272771.3</v>
      </c>
      <c r="N17" s="232">
        <v>3503</v>
      </c>
      <c r="O17" s="231">
        <v>85613.1</v>
      </c>
      <c r="P17" s="182">
        <v>3348</v>
      </c>
      <c r="Q17" s="178">
        <v>82445</v>
      </c>
      <c r="R17" s="232">
        <v>3369</v>
      </c>
      <c r="S17" s="231">
        <v>84494</v>
      </c>
      <c r="T17" s="182">
        <v>3055</v>
      </c>
      <c r="U17" s="178">
        <v>83160</v>
      </c>
      <c r="V17" s="232">
        <v>3229</v>
      </c>
      <c r="W17" s="231">
        <v>80048</v>
      </c>
      <c r="X17" s="182">
        <v>2941</v>
      </c>
      <c r="Y17" s="178">
        <v>53662</v>
      </c>
      <c r="Z17" s="285">
        <f t="shared" si="0"/>
        <v>59554</v>
      </c>
      <c r="AA17" s="286">
        <f t="shared" si="1"/>
        <v>2024382.11</v>
      </c>
    </row>
    <row r="18" spans="1:30" s="190" customFormat="1" hidden="1" x14ac:dyDescent="0.2">
      <c r="A18" s="206" t="s">
        <v>98</v>
      </c>
      <c r="B18" s="236"/>
      <c r="C18" s="237"/>
      <c r="D18" s="173"/>
      <c r="F18" s="250"/>
      <c r="G18" s="254"/>
      <c r="H18" s="173"/>
      <c r="J18" s="256"/>
      <c r="K18" s="254"/>
      <c r="L18" s="173"/>
      <c r="N18" s="256"/>
      <c r="O18" s="231"/>
      <c r="P18" s="172"/>
      <c r="R18" s="236"/>
      <c r="S18" s="254"/>
      <c r="T18" s="173"/>
      <c r="U18" s="191"/>
      <c r="V18" s="236"/>
      <c r="W18" s="259"/>
      <c r="X18" s="173"/>
      <c r="Z18" s="283">
        <f t="shared" si="0"/>
        <v>0</v>
      </c>
      <c r="AA18" s="287">
        <f t="shared" si="1"/>
        <v>0</v>
      </c>
    </row>
    <row r="19" spans="1:30" s="176" customFormat="1" hidden="1" x14ac:dyDescent="0.2">
      <c r="A19" s="204" t="s">
        <v>107</v>
      </c>
      <c r="B19" s="232"/>
      <c r="C19" s="235"/>
      <c r="D19" s="184"/>
      <c r="E19" s="192"/>
      <c r="F19" s="252"/>
      <c r="G19" s="243"/>
      <c r="H19" s="184"/>
      <c r="I19" s="192"/>
      <c r="J19" s="252"/>
      <c r="K19" s="243"/>
      <c r="L19" s="184"/>
      <c r="M19" s="192"/>
      <c r="N19" s="252"/>
      <c r="O19" s="260"/>
      <c r="P19" s="186"/>
      <c r="Q19" s="192"/>
      <c r="R19" s="252"/>
      <c r="S19" s="243"/>
      <c r="T19" s="184"/>
      <c r="U19" s="193"/>
      <c r="V19" s="265"/>
      <c r="W19" s="260"/>
      <c r="X19" s="184"/>
      <c r="Y19" s="192"/>
      <c r="Z19" s="283">
        <f t="shared" ref="Z19" si="2">SUM(B19+D19+F19+H19+J19+L19+N19+P19+R19+T19+V19+X19)</f>
        <v>0</v>
      </c>
      <c r="AA19" s="278">
        <f t="shared" ref="AA19" si="3">SUM(C19,E19,G19,I19,K19,M19,O19,Q19,S19,U19,W19,Y19)</f>
        <v>0</v>
      </c>
    </row>
    <row r="20" spans="1:30" s="176" customFormat="1" ht="13.5" thickBot="1" x14ac:dyDescent="0.25">
      <c r="A20" s="170" t="s">
        <v>65</v>
      </c>
      <c r="B20" s="240">
        <f>SUM(B13:B19)</f>
        <v>8579</v>
      </c>
      <c r="C20" s="241">
        <f>SUM(C13:C19)</f>
        <v>313638.46000000002</v>
      </c>
      <c r="D20" s="219">
        <f>SUM(D13:D19)</f>
        <v>9695</v>
      </c>
      <c r="E20" s="208">
        <f>SUM(E13:E19)</f>
        <v>368329.20999999996</v>
      </c>
      <c r="F20" s="240">
        <f t="shared" ref="F20:Y20" si="4">SUM(F13:F19)</f>
        <v>9215</v>
      </c>
      <c r="G20" s="241">
        <f t="shared" si="4"/>
        <v>349225.96</v>
      </c>
      <c r="H20" s="219">
        <f t="shared" si="4"/>
        <v>9216</v>
      </c>
      <c r="I20" s="194">
        <f t="shared" si="4"/>
        <v>352353.16000000003</v>
      </c>
      <c r="J20" s="240">
        <f t="shared" si="4"/>
        <v>9188</v>
      </c>
      <c r="K20" s="241">
        <f t="shared" si="4"/>
        <v>336958.27</v>
      </c>
      <c r="L20" s="219">
        <f t="shared" si="4"/>
        <v>9776</v>
      </c>
      <c r="M20" s="194">
        <f t="shared" si="4"/>
        <v>361251.82</v>
      </c>
      <c r="N20" s="240">
        <f t="shared" si="4"/>
        <v>9493</v>
      </c>
      <c r="O20" s="241">
        <f t="shared" si="4"/>
        <v>374034.55999999994</v>
      </c>
      <c r="P20" s="219">
        <f t="shared" si="4"/>
        <v>9556</v>
      </c>
      <c r="Q20" s="194">
        <f t="shared" si="4"/>
        <v>406393.01</v>
      </c>
      <c r="R20" s="240">
        <f t="shared" si="4"/>
        <v>9902</v>
      </c>
      <c r="S20" s="241">
        <f t="shared" si="4"/>
        <v>431431.92</v>
      </c>
      <c r="T20" s="219">
        <f t="shared" si="4"/>
        <v>9434</v>
      </c>
      <c r="U20" s="194">
        <f t="shared" si="4"/>
        <v>424662.9</v>
      </c>
      <c r="V20" s="240">
        <f t="shared" si="4"/>
        <v>9754</v>
      </c>
      <c r="W20" s="241">
        <f t="shared" si="4"/>
        <v>450460.79000000004</v>
      </c>
      <c r="X20" s="219">
        <f t="shared" si="4"/>
        <v>8998</v>
      </c>
      <c r="Y20" s="208">
        <f t="shared" si="4"/>
        <v>435274.74</v>
      </c>
      <c r="Z20" s="288">
        <f>B20+D20+F20+H20+J20+L20+N20+P20+R20+T20+V20+X20</f>
        <v>112806</v>
      </c>
      <c r="AA20" s="289">
        <f t="shared" si="1"/>
        <v>4604014.8</v>
      </c>
      <c r="AB20" s="312"/>
    </row>
    <row r="21" spans="1:30" s="176" customFormat="1" ht="13.5" thickTop="1" x14ac:dyDescent="0.2">
      <c r="A21" s="168"/>
      <c r="B21" s="230"/>
      <c r="C21" s="242"/>
      <c r="D21" s="182"/>
      <c r="E21" s="195"/>
      <c r="F21" s="232"/>
      <c r="G21" s="242"/>
      <c r="H21" s="182"/>
      <c r="I21" s="195"/>
      <c r="J21" s="232"/>
      <c r="K21" s="242"/>
      <c r="L21" s="182"/>
      <c r="M21" s="195"/>
      <c r="N21" s="232"/>
      <c r="O21" s="242"/>
      <c r="P21" s="182"/>
      <c r="Q21" s="195"/>
      <c r="R21" s="232"/>
      <c r="S21" s="242"/>
      <c r="T21" s="182"/>
      <c r="U21" s="195"/>
      <c r="V21" s="232"/>
      <c r="W21" s="242"/>
      <c r="X21" s="182"/>
      <c r="Y21" s="195"/>
      <c r="Z21" s="290"/>
      <c r="AA21" s="291"/>
    </row>
    <row r="22" spans="1:30" s="176" customFormat="1" x14ac:dyDescent="0.2">
      <c r="A22" s="169" t="s">
        <v>111</v>
      </c>
      <c r="B22" s="234">
        <v>9951</v>
      </c>
      <c r="C22" s="244">
        <v>2673304.12</v>
      </c>
      <c r="D22" s="209">
        <v>11158</v>
      </c>
      <c r="E22" s="211">
        <v>2965379.52</v>
      </c>
      <c r="F22" s="234">
        <v>10607</v>
      </c>
      <c r="G22" s="244">
        <v>2944713.77</v>
      </c>
      <c r="H22" s="209"/>
      <c r="I22" s="211">
        <v>2792644.29</v>
      </c>
      <c r="J22" s="234"/>
      <c r="K22" s="244">
        <v>2845991.6</v>
      </c>
      <c r="L22" s="209"/>
      <c r="M22" s="211">
        <v>2561923.44</v>
      </c>
      <c r="N22" s="234"/>
      <c r="O22" s="261">
        <v>2504178.94</v>
      </c>
      <c r="P22" s="209"/>
      <c r="Q22" s="211">
        <v>2793141.14</v>
      </c>
      <c r="R22" s="234"/>
      <c r="S22" s="244">
        <v>2905519.09</v>
      </c>
      <c r="T22" s="209"/>
      <c r="U22" s="211">
        <v>2846671.32</v>
      </c>
      <c r="V22" s="234"/>
      <c r="W22" s="244">
        <v>3024654.19</v>
      </c>
      <c r="X22" s="209"/>
      <c r="Y22" s="211">
        <v>2848782.29</v>
      </c>
      <c r="Z22" s="292"/>
      <c r="AA22" s="293">
        <f>SUM(C22,E22,G22,I22,K22,M22,O22,Q22,S22,U22,W22,Y22)</f>
        <v>33706903.710000001</v>
      </c>
    </row>
    <row r="23" spans="1:30" x14ac:dyDescent="0.2">
      <c r="A23" s="45" t="s">
        <v>117</v>
      </c>
      <c r="B23" s="245"/>
      <c r="C23" s="246">
        <f>C20/C22</f>
        <v>0.11732240176250505</v>
      </c>
      <c r="D23" s="307"/>
      <c r="E23" s="308">
        <f t="shared" ref="E23" si="5">E20/E22</f>
        <v>0.12420980434909053</v>
      </c>
      <c r="F23" s="245"/>
      <c r="G23" s="246">
        <f t="shared" ref="G23" si="6">G20/G22</f>
        <v>0.11859419531970336</v>
      </c>
      <c r="H23" s="307"/>
      <c r="I23" s="308">
        <f t="shared" ref="I23" si="7">I20/I22</f>
        <v>0.12617187275218644</v>
      </c>
      <c r="J23" s="245"/>
      <c r="K23" s="246">
        <f t="shared" ref="K23" si="8">K20/K22</f>
        <v>0.11839749281059017</v>
      </c>
      <c r="L23" s="307"/>
      <c r="M23" s="308">
        <f t="shared" ref="M23" si="9">M20/M22</f>
        <v>0.1410080466729326</v>
      </c>
      <c r="N23" s="245"/>
      <c r="O23" s="246">
        <f t="shared" ref="O23" si="10">O20/O22</f>
        <v>0.14936415047081258</v>
      </c>
      <c r="P23" s="307"/>
      <c r="Q23" s="308">
        <f t="shared" ref="Q23" si="11">Q20/Q22</f>
        <v>0.14549676855928589</v>
      </c>
      <c r="R23" s="245"/>
      <c r="S23" s="246">
        <f t="shared" ref="S23" si="12">S20/S22</f>
        <v>0.14848703678625633</v>
      </c>
      <c r="T23" s="307"/>
      <c r="U23" s="308">
        <f t="shared" ref="U23" si="13">U20/U22</f>
        <v>0.1491787608272247</v>
      </c>
      <c r="V23" s="245"/>
      <c r="W23" s="246">
        <f t="shared" ref="W23" si="14">W20/W22</f>
        <v>0.14892968309874791</v>
      </c>
      <c r="X23" s="307"/>
      <c r="Y23" s="308">
        <f t="shared" ref="Y23" si="15">Y20/Y22</f>
        <v>0.15279326241528973</v>
      </c>
      <c r="Z23" s="309"/>
      <c r="AA23" s="310">
        <f t="shared" ref="AA23" si="16">AA20/AA22</f>
        <v>0.13658966838399053</v>
      </c>
    </row>
    <row r="24" spans="1:30" x14ac:dyDescent="0.2">
      <c r="A24" s="45"/>
      <c r="B24" s="307"/>
      <c r="C24" s="308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307"/>
      <c r="Y24" s="308"/>
      <c r="Z24" s="307"/>
      <c r="AA24" s="308"/>
    </row>
    <row r="25" spans="1:30" s="176" customFormat="1" x14ac:dyDescent="0.2">
      <c r="A25" s="203"/>
      <c r="B25" s="179"/>
      <c r="C25" s="178"/>
      <c r="D25" s="174"/>
      <c r="E25" s="178"/>
      <c r="F25" s="174"/>
      <c r="G25" s="178"/>
      <c r="H25" s="174"/>
      <c r="I25" s="178"/>
      <c r="J25" s="174"/>
      <c r="K25" s="178"/>
      <c r="L25" s="174"/>
      <c r="M25" s="178"/>
      <c r="N25" s="174"/>
      <c r="O25" s="178"/>
      <c r="P25" s="174"/>
      <c r="R25" s="179"/>
      <c r="T25" s="179"/>
      <c r="U25" s="187"/>
      <c r="V25" s="174"/>
      <c r="W25" s="178"/>
      <c r="X25" s="174"/>
      <c r="Z25" s="179"/>
    </row>
    <row r="26" spans="1:30" s="171" customFormat="1" ht="29.25" customHeight="1" x14ac:dyDescent="0.2">
      <c r="A26" s="305" t="s">
        <v>115</v>
      </c>
      <c r="B26" s="212"/>
      <c r="C26" s="213">
        <f>C20-C10</f>
        <v>146044.71000000002</v>
      </c>
      <c r="D26" s="212"/>
      <c r="E26" s="213">
        <f>E20-E10</f>
        <v>179885.25999999995</v>
      </c>
      <c r="F26" s="212"/>
      <c r="G26" s="213">
        <f t="shared" ref="G26" si="17">G20-G10</f>
        <v>177612.54000000004</v>
      </c>
      <c r="H26" s="212"/>
      <c r="I26" s="213">
        <f t="shared" ref="I26" si="18">I20-I10</f>
        <v>182678.22000000003</v>
      </c>
      <c r="J26" s="212"/>
      <c r="K26" s="213">
        <f t="shared" ref="K26" si="19">K20-K10</f>
        <v>180378.38000000003</v>
      </c>
      <c r="L26" s="212"/>
      <c r="M26" s="213">
        <f t="shared" ref="M26" si="20">M20-M10</f>
        <v>188247.93000000002</v>
      </c>
      <c r="N26" s="212"/>
      <c r="O26" s="213">
        <f t="shared" ref="O26" si="21">O20-O10</f>
        <v>196236.32999999993</v>
      </c>
      <c r="P26" s="212"/>
      <c r="Q26" s="213">
        <f t="shared" ref="Q26" si="22">Q20-Q10</f>
        <v>228233.25</v>
      </c>
      <c r="R26" s="212"/>
      <c r="S26" s="213">
        <f t="shared" ref="S26" si="23">S20-S10</f>
        <v>250108.50999999998</v>
      </c>
      <c r="T26" s="212"/>
      <c r="U26" s="213">
        <f t="shared" ref="U26" si="24">U20-U10</f>
        <v>240535.41000000003</v>
      </c>
      <c r="V26" s="212"/>
      <c r="W26" s="213">
        <f t="shared" ref="W26" si="25">W20-W10</f>
        <v>267392.95000000007</v>
      </c>
      <c r="X26" s="212"/>
      <c r="Y26" s="213">
        <f t="shared" ref="Y26" si="26">Y20-Y10</f>
        <v>266298.03000000003</v>
      </c>
      <c r="Z26" s="212"/>
      <c r="AA26" s="213">
        <f t="shared" ref="AA26" si="27">AA20-AA10</f>
        <v>2503651.5199999996</v>
      </c>
      <c r="AB26" s="196"/>
      <c r="AC26" s="196"/>
      <c r="AD26" s="196"/>
    </row>
    <row r="27" spans="1:30" s="176" customFormat="1" x14ac:dyDescent="0.2">
      <c r="A27" s="203"/>
      <c r="B27" s="179"/>
      <c r="D27" s="179"/>
      <c r="F27" s="179"/>
      <c r="H27" s="179"/>
      <c r="J27" s="179"/>
      <c r="L27" s="179"/>
      <c r="N27" s="179"/>
      <c r="O27" s="178"/>
      <c r="P27" s="174"/>
      <c r="R27" s="179"/>
      <c r="T27" s="179"/>
      <c r="U27" s="197"/>
      <c r="V27" s="179"/>
      <c r="X27" s="179"/>
      <c r="Z27" s="179"/>
    </row>
    <row r="28" spans="1:30" s="176" customFormat="1" x14ac:dyDescent="0.2">
      <c r="A28" s="218" t="s">
        <v>113</v>
      </c>
      <c r="B28" s="179"/>
      <c r="D28" s="179"/>
      <c r="F28" s="179"/>
      <c r="H28" s="179"/>
      <c r="J28" s="179"/>
      <c r="L28" s="179"/>
      <c r="N28" s="179"/>
      <c r="O28" s="178"/>
      <c r="P28" s="174"/>
      <c r="R28" s="179"/>
      <c r="T28" s="179"/>
      <c r="U28" s="197"/>
      <c r="V28" s="179"/>
      <c r="X28" s="179"/>
      <c r="Z28" s="179"/>
    </row>
    <row r="29" spans="1:30" s="176" customFormat="1" x14ac:dyDescent="0.2">
      <c r="A29" s="218" t="s">
        <v>130</v>
      </c>
      <c r="B29" s="179"/>
      <c r="D29" s="179"/>
      <c r="F29" s="179"/>
      <c r="H29" s="179"/>
      <c r="J29" s="179"/>
      <c r="L29" s="179"/>
      <c r="N29" s="179"/>
      <c r="O29" s="178"/>
      <c r="P29" s="179"/>
      <c r="R29" s="179"/>
      <c r="T29" s="179"/>
      <c r="U29" s="197"/>
      <c r="V29" s="179"/>
      <c r="X29" s="179"/>
      <c r="Z29" s="179"/>
    </row>
    <row r="30" spans="1:30" s="176" customFormat="1" x14ac:dyDescent="0.2">
      <c r="A30" s="218" t="s">
        <v>116</v>
      </c>
      <c r="B30" s="179"/>
      <c r="D30" s="179"/>
      <c r="F30" s="179"/>
      <c r="H30" s="179"/>
      <c r="J30" s="179"/>
      <c r="L30" s="179"/>
      <c r="N30" s="179"/>
      <c r="O30" s="178"/>
      <c r="P30" s="174"/>
      <c r="R30" s="179"/>
      <c r="T30" s="179"/>
      <c r="U30" s="197"/>
      <c r="V30" s="179"/>
      <c r="X30" s="179"/>
      <c r="Z30" s="179"/>
      <c r="AA30" s="306"/>
    </row>
    <row r="31" spans="1:30" s="176" customFormat="1" x14ac:dyDescent="0.2">
      <c r="A31" s="203"/>
      <c r="B31" s="198"/>
      <c r="C31" s="199"/>
      <c r="D31" s="198"/>
      <c r="E31" s="199"/>
      <c r="F31" s="198"/>
      <c r="G31" s="199"/>
      <c r="H31" s="198"/>
      <c r="I31" s="199"/>
      <c r="J31" s="200"/>
      <c r="K31" s="201"/>
      <c r="L31" s="200"/>
      <c r="M31" s="201"/>
      <c r="N31" s="200"/>
      <c r="O31" s="178"/>
      <c r="P31" s="174"/>
      <c r="R31" s="179"/>
      <c r="T31" s="179"/>
      <c r="U31" s="197"/>
      <c r="V31" s="179"/>
      <c r="X31" s="179"/>
      <c r="Z31" s="179"/>
    </row>
    <row r="32" spans="1:30" x14ac:dyDescent="0.2">
      <c r="A32" s="207"/>
    </row>
    <row r="33" spans="1:27" x14ac:dyDescent="0.2">
      <c r="A33" s="214"/>
      <c r="B33" s="215"/>
      <c r="C33" s="216"/>
      <c r="D33" s="215"/>
      <c r="E33" s="216"/>
      <c r="F33" s="215"/>
      <c r="G33" s="216"/>
      <c r="H33" s="217"/>
      <c r="I33" s="216"/>
    </row>
    <row r="36" spans="1:27" x14ac:dyDescent="0.2">
      <c r="E36" s="51"/>
    </row>
    <row r="37" spans="1:27" x14ac:dyDescent="0.2">
      <c r="AA37" s="38"/>
    </row>
    <row r="39" spans="1:27" x14ac:dyDescent="0.2">
      <c r="U39" s="80"/>
    </row>
  </sheetData>
  <pageMargins left="0.17" right="0.16" top="1" bottom="1" header="0.5" footer="0.5"/>
  <pageSetup paperSize="5" scale="63" orientation="landscape" cellComments="asDisplayed" r:id="rId1"/>
  <headerFooter alignWithMargins="0">
    <oddFooter xml:space="preserve">&amp;L&amp;8&amp;Z&amp;F&amp;R&amp;8Prepared by Kathy Adair
&amp;D
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zoomScaleNormal="100" workbookViewId="0">
      <pane xSplit="1" topLeftCell="G1" activePane="topRight" state="frozen"/>
      <selection activeCell="A4" sqref="A4"/>
      <selection pane="topRight" activeCell="A4" sqref="A4"/>
    </sheetView>
  </sheetViews>
  <sheetFormatPr defaultRowHeight="12.75" x14ac:dyDescent="0.2"/>
  <cols>
    <col min="1" max="1" width="33.7109375" customWidth="1"/>
    <col min="2" max="2" width="5.5703125" style="88" bestFit="1" customWidth="1"/>
    <col min="3" max="3" width="11.28515625" bestFit="1" customWidth="1"/>
    <col min="4" max="4" width="5.5703125" style="88" bestFit="1" customWidth="1"/>
    <col min="5" max="5" width="11.85546875" customWidth="1"/>
    <col min="6" max="6" width="5.5703125" style="88" bestFit="1" customWidth="1"/>
    <col min="7" max="7" width="11.85546875" customWidth="1"/>
    <col min="8" max="8" width="5.5703125" style="96" customWidth="1"/>
    <col min="9" max="9" width="12.42578125" customWidth="1"/>
    <col min="10" max="10" width="5.5703125" style="96" customWidth="1"/>
    <col min="11" max="11" width="11.7109375" customWidth="1"/>
    <col min="12" max="12" width="5.5703125" style="88" customWidth="1"/>
    <col min="13" max="13" width="11.85546875" customWidth="1"/>
    <col min="14" max="14" width="6.42578125" style="88" customWidth="1"/>
    <col min="15" max="15" width="11.28515625" style="26" customWidth="1"/>
    <col min="16" max="16" width="5.5703125" style="90" customWidth="1"/>
    <col min="17" max="17" width="11.28515625" customWidth="1"/>
    <col min="18" max="18" width="6.5703125" style="96" customWidth="1"/>
    <col min="19" max="19" width="11.28515625" style="6" customWidth="1"/>
    <col min="20" max="20" width="6.5703125" style="88" bestFit="1" customWidth="1"/>
    <col min="21" max="21" width="11.28515625" style="71" customWidth="1"/>
    <col min="22" max="22" width="6.42578125" style="88" customWidth="1"/>
    <col min="23" max="23" width="12.42578125" style="6" customWidth="1"/>
    <col min="24" max="24" width="6.5703125" style="88" customWidth="1"/>
    <col min="25" max="25" width="12" style="6" customWidth="1"/>
    <col min="26" max="26" width="7.5703125" style="88" customWidth="1"/>
    <col min="27" max="27" width="12.28515625" style="6" bestFit="1" customWidth="1"/>
  </cols>
  <sheetData>
    <row r="1" spans="1:29" ht="21.75" hidden="1" x14ac:dyDescent="0.3">
      <c r="A1" s="9" t="s">
        <v>55</v>
      </c>
      <c r="B1" s="93"/>
      <c r="C1" s="9"/>
      <c r="D1" s="93"/>
      <c r="E1" s="9"/>
      <c r="F1" s="93"/>
      <c r="G1" s="9"/>
      <c r="H1" s="95"/>
      <c r="I1" s="9"/>
      <c r="J1" s="95"/>
      <c r="K1" s="9"/>
      <c r="L1" s="93"/>
      <c r="M1" s="9"/>
      <c r="N1" s="93"/>
    </row>
    <row r="2" spans="1:29" hidden="1" x14ac:dyDescent="0.2"/>
    <row r="3" spans="1:29" ht="18" x14ac:dyDescent="0.25">
      <c r="A3" s="152" t="s">
        <v>56</v>
      </c>
    </row>
    <row r="4" spans="1:29" x14ac:dyDescent="0.2">
      <c r="Z4" s="272" t="s">
        <v>29</v>
      </c>
      <c r="AA4" s="273" t="s">
        <v>29</v>
      </c>
    </row>
    <row r="5" spans="1:29" x14ac:dyDescent="0.2">
      <c r="B5" s="225" t="s">
        <v>38</v>
      </c>
      <c r="C5" s="226" t="s">
        <v>21</v>
      </c>
      <c r="D5" s="88" t="s">
        <v>38</v>
      </c>
      <c r="E5" s="6" t="s">
        <v>22</v>
      </c>
      <c r="F5" s="88" t="s">
        <v>38</v>
      </c>
      <c r="G5" s="226" t="s">
        <v>23</v>
      </c>
      <c r="H5" s="225" t="s">
        <v>38</v>
      </c>
      <c r="I5" s="6" t="s">
        <v>24</v>
      </c>
      <c r="J5" s="88" t="s">
        <v>38</v>
      </c>
      <c r="K5" s="226" t="s">
        <v>25</v>
      </c>
      <c r="L5" s="88" t="s">
        <v>38</v>
      </c>
      <c r="M5" s="6" t="s">
        <v>20</v>
      </c>
      <c r="N5" s="225" t="s">
        <v>38</v>
      </c>
      <c r="O5" s="331" t="s">
        <v>4</v>
      </c>
      <c r="P5" s="88" t="s">
        <v>38</v>
      </c>
      <c r="Q5" t="s">
        <v>5</v>
      </c>
      <c r="R5" s="225" t="s">
        <v>38</v>
      </c>
      <c r="S5" s="226" t="s">
        <v>6</v>
      </c>
      <c r="T5" s="88" t="s">
        <v>38</v>
      </c>
      <c r="U5" s="72" t="s">
        <v>7</v>
      </c>
      <c r="V5" s="225" t="s">
        <v>38</v>
      </c>
      <c r="W5" s="226" t="s">
        <v>8</v>
      </c>
      <c r="X5" s="88" t="s">
        <v>38</v>
      </c>
      <c r="Y5" s="6" t="s">
        <v>9</v>
      </c>
      <c r="Z5" s="272" t="s">
        <v>38</v>
      </c>
      <c r="AA5" s="274" t="s">
        <v>52</v>
      </c>
    </row>
    <row r="6" spans="1:29" x14ac:dyDescent="0.2">
      <c r="B6" s="225"/>
      <c r="C6" s="226"/>
      <c r="E6" s="6"/>
      <c r="G6" s="226"/>
      <c r="H6" s="255"/>
      <c r="I6" s="6"/>
      <c r="K6" s="226"/>
      <c r="M6" s="6"/>
      <c r="N6" s="225"/>
      <c r="O6" s="331"/>
      <c r="P6" s="105"/>
      <c r="R6" s="255"/>
      <c r="S6" s="226"/>
      <c r="U6" s="72"/>
      <c r="V6" s="336"/>
      <c r="W6" s="226"/>
      <c r="Z6" s="272"/>
      <c r="AA6" s="273"/>
    </row>
    <row r="7" spans="1:29" s="29" customFormat="1" x14ac:dyDescent="0.2">
      <c r="A7" s="21" t="s">
        <v>118</v>
      </c>
      <c r="B7" s="313"/>
      <c r="C7" s="314"/>
      <c r="D7" s="89"/>
      <c r="E7" s="28"/>
      <c r="F7" s="90"/>
      <c r="G7" s="314"/>
      <c r="H7" s="324"/>
      <c r="I7" s="28"/>
      <c r="J7" s="97"/>
      <c r="K7" s="314"/>
      <c r="L7" s="89"/>
      <c r="M7" s="28"/>
      <c r="N7" s="327"/>
      <c r="O7" s="332"/>
      <c r="P7" s="104"/>
      <c r="R7" s="327"/>
      <c r="S7" s="314"/>
      <c r="T7" s="89"/>
      <c r="U7" s="73"/>
      <c r="V7" s="313"/>
      <c r="W7" s="332"/>
      <c r="X7" s="89"/>
      <c r="Y7" s="28"/>
      <c r="Z7" s="344"/>
      <c r="AA7" s="345"/>
    </row>
    <row r="8" spans="1:29" s="29" customFormat="1" x14ac:dyDescent="0.2">
      <c r="A8" s="27" t="s">
        <v>119</v>
      </c>
      <c r="B8" s="313">
        <v>2350</v>
      </c>
      <c r="C8" s="314">
        <v>74148.160000000003</v>
      </c>
      <c r="D8" s="89">
        <v>2288</v>
      </c>
      <c r="E8" s="28">
        <v>70027.89</v>
      </c>
      <c r="F8" s="90">
        <v>2144</v>
      </c>
      <c r="G8" s="314">
        <v>65783.92</v>
      </c>
      <c r="H8" s="324">
        <v>2452</v>
      </c>
      <c r="I8" s="28">
        <v>76007.89</v>
      </c>
      <c r="J8" s="97">
        <v>2293</v>
      </c>
      <c r="K8" s="314">
        <v>69995.08</v>
      </c>
      <c r="L8" s="89">
        <v>2117</v>
      </c>
      <c r="M8" s="28">
        <v>63644.92</v>
      </c>
      <c r="N8" s="327">
        <v>2489</v>
      </c>
      <c r="O8" s="262">
        <v>73981.37</v>
      </c>
      <c r="P8" s="104">
        <v>2255</v>
      </c>
      <c r="Q8" s="29">
        <v>68810.740000000005</v>
      </c>
      <c r="R8" s="313">
        <v>2603</v>
      </c>
      <c r="S8" s="314">
        <v>83321.759999999995</v>
      </c>
      <c r="T8" s="89">
        <v>2713</v>
      </c>
      <c r="U8" s="73">
        <v>86786.75</v>
      </c>
      <c r="V8" s="313">
        <v>2596</v>
      </c>
      <c r="W8" s="332">
        <v>83449.98</v>
      </c>
      <c r="X8" s="89">
        <v>2720</v>
      </c>
      <c r="Y8" s="28">
        <v>93393.29</v>
      </c>
      <c r="Z8" s="344">
        <f t="shared" ref="Z8:Z9" si="0">SUM(B8+D8+F8+H8+J8+L8+N8+P8+R8+T8+V8+X8)</f>
        <v>29020</v>
      </c>
      <c r="AA8" s="346">
        <f t="shared" ref="AA8:AA14" si="1">SUM(C8,E8,G8,I8,K8,M8,O8,Q8,S8,U8,W8,Y8)</f>
        <v>909351.75</v>
      </c>
    </row>
    <row r="9" spans="1:29" x14ac:dyDescent="0.2">
      <c r="A9" t="s">
        <v>120</v>
      </c>
      <c r="B9" s="315">
        <v>5477</v>
      </c>
      <c r="C9" s="316">
        <v>146937</v>
      </c>
      <c r="D9" s="153">
        <v>6180</v>
      </c>
      <c r="E9" s="31">
        <v>177344.68</v>
      </c>
      <c r="F9" s="153">
        <v>6137</v>
      </c>
      <c r="G9" s="316">
        <v>174099.9</v>
      </c>
      <c r="H9" s="325">
        <v>6309</v>
      </c>
      <c r="I9" s="31">
        <v>181083.99</v>
      </c>
      <c r="J9" s="133">
        <v>6550</v>
      </c>
      <c r="K9" s="316">
        <v>192872.02</v>
      </c>
      <c r="L9" s="153">
        <v>6116</v>
      </c>
      <c r="M9" s="31">
        <v>165203</v>
      </c>
      <c r="N9" s="333">
        <v>6452</v>
      </c>
      <c r="O9" s="334">
        <v>175637.34</v>
      </c>
      <c r="P9" s="166">
        <v>6477</v>
      </c>
      <c r="Q9" s="33">
        <v>177443.58</v>
      </c>
      <c r="R9" s="333">
        <v>7050</v>
      </c>
      <c r="S9" s="316">
        <v>195805.7</v>
      </c>
      <c r="T9" s="153">
        <v>6596</v>
      </c>
      <c r="U9" s="155">
        <v>185228.61</v>
      </c>
      <c r="V9" s="341">
        <v>6652</v>
      </c>
      <c r="W9" s="334">
        <v>190250</v>
      </c>
      <c r="X9" s="153">
        <v>6483</v>
      </c>
      <c r="Y9" s="31">
        <v>255607</v>
      </c>
      <c r="Z9" s="344">
        <f t="shared" si="0"/>
        <v>76479</v>
      </c>
      <c r="AA9" s="347">
        <f t="shared" si="1"/>
        <v>2217512.8199999998</v>
      </c>
    </row>
    <row r="10" spans="1:29" x14ac:dyDescent="0.2">
      <c r="A10" s="165" t="s">
        <v>59</v>
      </c>
      <c r="B10" s="225"/>
      <c r="C10" s="317">
        <f>SUM(C8:C9)</f>
        <v>221085.16</v>
      </c>
      <c r="E10" s="167">
        <f t="shared" ref="E10:M10" si="2">SUM(E8:E9)</f>
        <v>247372.57</v>
      </c>
      <c r="G10" s="317">
        <f t="shared" si="2"/>
        <v>239883.82</v>
      </c>
      <c r="H10" s="225"/>
      <c r="I10" s="167">
        <f t="shared" si="2"/>
        <v>257091.88</v>
      </c>
      <c r="J10" s="88"/>
      <c r="K10" s="317">
        <f t="shared" si="2"/>
        <v>262867.09999999998</v>
      </c>
      <c r="M10" s="167">
        <f t="shared" si="2"/>
        <v>228847.91999999998</v>
      </c>
      <c r="N10" s="225"/>
      <c r="O10" s="317">
        <f t="shared" ref="O10" si="3">SUM(O8:O9)</f>
        <v>249618.71</v>
      </c>
      <c r="P10" s="88"/>
      <c r="Q10" s="167">
        <f t="shared" ref="Q10" si="4">SUM(Q8:Q9)</f>
        <v>246254.32</v>
      </c>
      <c r="R10" s="225"/>
      <c r="S10" s="317">
        <f t="shared" ref="S10" si="5">SUM(S8:S9)</f>
        <v>279127.46000000002</v>
      </c>
      <c r="U10" s="167">
        <f t="shared" ref="U10" si="6">SUM(U8:U9)</f>
        <v>272015.35999999999</v>
      </c>
      <c r="V10" s="225"/>
      <c r="W10" s="317">
        <f t="shared" ref="W10" si="7">SUM(W8:W9)</f>
        <v>273699.98</v>
      </c>
      <c r="Y10" s="167">
        <f t="shared" ref="Y10" si="8">SUM(Y8:Y9)</f>
        <v>349000.29</v>
      </c>
      <c r="Z10" s="344"/>
      <c r="AA10" s="348">
        <f t="shared" si="1"/>
        <v>3126864.57</v>
      </c>
    </row>
    <row r="11" spans="1:29" x14ac:dyDescent="0.2">
      <c r="A11" s="165" t="s">
        <v>60</v>
      </c>
      <c r="B11" s="318">
        <f>384+3+208+343+1+181</f>
        <v>1120</v>
      </c>
      <c r="C11" s="316">
        <f>10921+37826.55</f>
        <v>48747.55</v>
      </c>
      <c r="D11" s="91">
        <f>352+4+205+416+3+210+1</f>
        <v>1191</v>
      </c>
      <c r="E11" s="31">
        <f>10596-208+37862.5</f>
        <v>48250.5</v>
      </c>
      <c r="F11" s="91">
        <f>306+2+179+393+2+201</f>
        <v>1083</v>
      </c>
      <c r="G11" s="316">
        <f>6255+25513.6</f>
        <v>31768.6</v>
      </c>
      <c r="H11" s="326">
        <f>286+8+193+411+197</f>
        <v>1095</v>
      </c>
      <c r="I11" s="31">
        <f>7293+21514.8</f>
        <v>28807.8</v>
      </c>
      <c r="J11" s="99">
        <f>277+7+213+413+227</f>
        <v>1137</v>
      </c>
      <c r="K11" s="316">
        <f>8350+28689.2</f>
        <v>37039.199999999997</v>
      </c>
      <c r="L11" s="91">
        <v>1153</v>
      </c>
      <c r="M11" s="31">
        <v>32767.07</v>
      </c>
      <c r="N11" s="335">
        <v>1226</v>
      </c>
      <c r="O11" s="334">
        <v>43861.59</v>
      </c>
      <c r="P11" s="91">
        <v>1233</v>
      </c>
      <c r="Q11" s="33">
        <v>34032.85</v>
      </c>
      <c r="R11" s="335">
        <v>1347</v>
      </c>
      <c r="S11" s="338">
        <v>47090.48</v>
      </c>
      <c r="T11" s="91">
        <v>1282</v>
      </c>
      <c r="U11" s="155">
        <v>45960.28</v>
      </c>
      <c r="V11" s="342">
        <v>1250</v>
      </c>
      <c r="W11" s="316">
        <v>44503.45</v>
      </c>
      <c r="X11" s="91">
        <v>1228</v>
      </c>
      <c r="Y11" s="32">
        <v>50850.22</v>
      </c>
      <c r="Z11" s="344">
        <f>SUM(B11+D11+F11+H11+J11+L11+N11+P11+R11+T11+V11+X11)</f>
        <v>14345</v>
      </c>
      <c r="AA11" s="347">
        <f t="shared" si="1"/>
        <v>493679.58999999997</v>
      </c>
      <c r="AC11" s="164"/>
    </row>
    <row r="12" spans="1:29" x14ac:dyDescent="0.2">
      <c r="A12" t="s">
        <v>121</v>
      </c>
      <c r="B12" s="225"/>
      <c r="C12" s="319">
        <f>SUM(C10:C11)</f>
        <v>269832.71000000002</v>
      </c>
      <c r="D12" s="89"/>
      <c r="E12" s="29">
        <f>SUM(E10:E11)</f>
        <v>295623.07</v>
      </c>
      <c r="F12" s="89"/>
      <c r="G12" s="319">
        <f t="shared" ref="G12" si="9">SUM(G10:G11)</f>
        <v>271652.42</v>
      </c>
      <c r="H12" s="327"/>
      <c r="I12" s="29">
        <f t="shared" ref="I12" si="10">SUM(I10:I11)</f>
        <v>285899.68</v>
      </c>
      <c r="J12" s="89"/>
      <c r="K12" s="319">
        <f t="shared" ref="K12" si="11">SUM(K10:K11)</f>
        <v>299906.3</v>
      </c>
      <c r="L12" s="89"/>
      <c r="M12" s="29">
        <f t="shared" ref="M12" si="12">SUM(M10:M11)</f>
        <v>261614.99</v>
      </c>
      <c r="N12" s="327"/>
      <c r="O12" s="319">
        <f t="shared" ref="O12" si="13">SUM(O10:O11)</f>
        <v>293480.3</v>
      </c>
      <c r="P12" s="89"/>
      <c r="Q12" s="29">
        <f t="shared" ref="Q12" si="14">SUM(Q10:Q11)</f>
        <v>280287.17</v>
      </c>
      <c r="R12" s="327"/>
      <c r="S12" s="319">
        <f t="shared" ref="S12" si="15">SUM(S10:S11)</f>
        <v>326217.94</v>
      </c>
      <c r="T12" s="89"/>
      <c r="U12" s="29">
        <f t="shared" ref="U12" si="16">SUM(U10:U11)</f>
        <v>317975.64</v>
      </c>
      <c r="V12" s="327"/>
      <c r="W12" s="319">
        <f t="shared" ref="W12" si="17">SUM(W10:W11)</f>
        <v>318203.43</v>
      </c>
      <c r="X12" s="89"/>
      <c r="Y12" s="29">
        <f t="shared" ref="Y12" si="18">SUM(Y10:Y11)</f>
        <v>399850.51</v>
      </c>
      <c r="Z12" s="344"/>
      <c r="AA12" s="349">
        <f t="shared" si="1"/>
        <v>3620544.16</v>
      </c>
    </row>
    <row r="13" spans="1:29" x14ac:dyDescent="0.2">
      <c r="A13" t="s">
        <v>127</v>
      </c>
      <c r="B13" s="318"/>
      <c r="C13" s="320">
        <v>33333.339999999997</v>
      </c>
      <c r="D13" s="91"/>
      <c r="E13" s="33">
        <v>33333.33</v>
      </c>
      <c r="F13" s="91"/>
      <c r="G13" s="320">
        <v>33333.33</v>
      </c>
      <c r="H13" s="326"/>
      <c r="I13" s="33">
        <v>33333.339999999997</v>
      </c>
      <c r="J13" s="99"/>
      <c r="K13" s="320">
        <v>33333.33</v>
      </c>
      <c r="L13" s="91"/>
      <c r="M13" s="33">
        <v>33333.33</v>
      </c>
      <c r="N13" s="335"/>
      <c r="O13" s="320">
        <v>33333.339999999997</v>
      </c>
      <c r="P13" s="91"/>
      <c r="Q13" s="33">
        <v>33333.33</v>
      </c>
      <c r="R13" s="326"/>
      <c r="S13" s="320">
        <v>33333.33</v>
      </c>
      <c r="T13" s="91"/>
      <c r="U13" s="33">
        <v>33333.339999999997</v>
      </c>
      <c r="V13" s="335"/>
      <c r="W13" s="316">
        <v>33333.33</v>
      </c>
      <c r="X13" s="91"/>
      <c r="Y13" s="31">
        <v>33333.33</v>
      </c>
      <c r="Z13" s="350"/>
      <c r="AA13" s="347">
        <f t="shared" si="1"/>
        <v>400000</v>
      </c>
    </row>
    <row r="14" spans="1:29" x14ac:dyDescent="0.2">
      <c r="A14" t="s">
        <v>124</v>
      </c>
      <c r="B14" s="225"/>
      <c r="C14" s="248">
        <f>SUM(C12:C13)</f>
        <v>303166.05000000005</v>
      </c>
      <c r="D14" s="90"/>
      <c r="E14" s="26">
        <f>SUM(E12:E13)</f>
        <v>328956.40000000002</v>
      </c>
      <c r="F14" s="90"/>
      <c r="G14" s="248">
        <f>SUM(G12:G13)</f>
        <v>304985.75</v>
      </c>
      <c r="H14" s="328"/>
      <c r="I14" s="26">
        <f>SUM(I12:I13)</f>
        <v>319233.02</v>
      </c>
      <c r="J14" s="98"/>
      <c r="K14" s="248">
        <f>SUM(K12:K13)</f>
        <v>333239.63</v>
      </c>
      <c r="L14" s="90"/>
      <c r="M14" s="26">
        <f>SUM(M12:M13)</f>
        <v>294948.32</v>
      </c>
      <c r="N14" s="247"/>
      <c r="O14" s="248">
        <f>SUM(O12:O13)</f>
        <v>326813.64</v>
      </c>
      <c r="Q14" s="26">
        <f>SUM(Q12:Q13)</f>
        <v>313620.5</v>
      </c>
      <c r="R14" s="328"/>
      <c r="S14" s="248">
        <f>SUM(S12:S13)</f>
        <v>359551.27</v>
      </c>
      <c r="T14" s="90"/>
      <c r="U14" s="26">
        <f>SUM(U12:U13)</f>
        <v>351308.98</v>
      </c>
      <c r="V14" s="247"/>
      <c r="W14" s="262">
        <f>SUM(W12:W13)</f>
        <v>351536.76</v>
      </c>
      <c r="X14" s="90"/>
      <c r="Y14" s="30">
        <f>SUM(Y12:Y13)</f>
        <v>433183.84</v>
      </c>
      <c r="Z14" s="351"/>
      <c r="AA14" s="345">
        <f t="shared" si="1"/>
        <v>4020544.16</v>
      </c>
    </row>
    <row r="15" spans="1:29" x14ac:dyDescent="0.2">
      <c r="B15" s="225"/>
      <c r="C15" s="248"/>
      <c r="D15" s="90"/>
      <c r="E15" s="26"/>
      <c r="F15" s="90"/>
      <c r="G15" s="248"/>
      <c r="H15" s="328"/>
      <c r="K15" s="227"/>
      <c r="N15" s="225"/>
      <c r="O15" s="248"/>
      <c r="R15" s="255"/>
      <c r="S15" s="226"/>
      <c r="U15" s="77"/>
      <c r="V15" s="247"/>
      <c r="W15" s="262"/>
      <c r="X15" s="90"/>
      <c r="Z15" s="272"/>
      <c r="AA15" s="273"/>
    </row>
    <row r="16" spans="1:29" x14ac:dyDescent="0.2">
      <c r="A16" t="s">
        <v>122</v>
      </c>
      <c r="B16" s="225"/>
      <c r="C16" s="227"/>
      <c r="D16" s="90"/>
      <c r="E16" s="26"/>
      <c r="F16" s="90"/>
      <c r="G16" s="248"/>
      <c r="H16" s="328"/>
      <c r="K16" s="227"/>
      <c r="N16" s="225"/>
      <c r="O16" s="248"/>
      <c r="R16" s="255"/>
      <c r="S16" s="226"/>
      <c r="U16" s="77"/>
      <c r="V16" s="247"/>
      <c r="W16" s="262"/>
      <c r="X16" s="90"/>
      <c r="Z16" s="272"/>
      <c r="AA16" s="273"/>
    </row>
    <row r="17" spans="1:30" x14ac:dyDescent="0.2">
      <c r="A17" s="4" t="s">
        <v>57</v>
      </c>
      <c r="B17" s="225"/>
      <c r="C17" s="248">
        <v>123833.89</v>
      </c>
      <c r="D17" s="90"/>
      <c r="E17" s="34">
        <v>134764.94</v>
      </c>
      <c r="F17" s="90"/>
      <c r="G17" s="329">
        <v>131877.01999999999</v>
      </c>
      <c r="H17" s="328"/>
      <c r="I17" s="34">
        <v>138254.94</v>
      </c>
      <c r="J17" s="98"/>
      <c r="K17" s="329">
        <v>140430.87</v>
      </c>
      <c r="L17" s="90"/>
      <c r="M17" s="66">
        <v>127853.83</v>
      </c>
      <c r="N17" s="225"/>
      <c r="O17" s="248">
        <v>137791.15</v>
      </c>
      <c r="Q17" s="26">
        <v>136655.75</v>
      </c>
      <c r="R17" s="328"/>
      <c r="S17" s="262">
        <v>152831.39000000001</v>
      </c>
      <c r="T17" s="90"/>
      <c r="U17" s="26">
        <v>155304.73000000001</v>
      </c>
      <c r="V17" s="247"/>
      <c r="W17" s="262">
        <v>156869.60999999999</v>
      </c>
      <c r="X17" s="90"/>
      <c r="Y17" s="156">
        <v>151657.49</v>
      </c>
      <c r="Z17" s="272"/>
      <c r="AA17" s="352">
        <f>SUM(C17:Y17)</f>
        <v>1688125.61</v>
      </c>
    </row>
    <row r="18" spans="1:30" x14ac:dyDescent="0.2">
      <c r="A18" s="4" t="s">
        <v>34</v>
      </c>
      <c r="B18" s="318"/>
      <c r="C18" s="321">
        <v>26187</v>
      </c>
      <c r="D18" s="91"/>
      <c r="E18" s="35">
        <v>28720.9</v>
      </c>
      <c r="F18" s="91"/>
      <c r="G18" s="321">
        <v>28087.09</v>
      </c>
      <c r="H18" s="326"/>
      <c r="I18" s="35">
        <v>28440.41</v>
      </c>
      <c r="J18" s="99"/>
      <c r="K18" s="321">
        <v>28799.52</v>
      </c>
      <c r="L18" s="91"/>
      <c r="M18" s="67">
        <v>26202.7</v>
      </c>
      <c r="N18" s="318"/>
      <c r="O18" s="320">
        <v>23894.31</v>
      </c>
      <c r="P18" s="91"/>
      <c r="Q18" s="33">
        <v>23589.01</v>
      </c>
      <c r="R18" s="326"/>
      <c r="S18" s="316">
        <v>25072.29</v>
      </c>
      <c r="T18" s="91"/>
      <c r="U18" s="33">
        <v>25781.01</v>
      </c>
      <c r="V18" s="335"/>
      <c r="W18" s="316">
        <v>25280.34</v>
      </c>
      <c r="X18" s="91"/>
      <c r="Y18" s="35">
        <v>23535.83</v>
      </c>
      <c r="Z18" s="350"/>
      <c r="AA18" s="347">
        <f>SUM(C18:Y18)</f>
        <v>313590.41000000009</v>
      </c>
    </row>
    <row r="19" spans="1:30" x14ac:dyDescent="0.2">
      <c r="A19" t="s">
        <v>63</v>
      </c>
      <c r="B19" s="225">
        <v>7581</v>
      </c>
      <c r="C19" s="248">
        <f>SUM(C17:C18)</f>
        <v>150020.89000000001</v>
      </c>
      <c r="D19" s="105">
        <v>8626</v>
      </c>
      <c r="E19" s="26">
        <f>SUM(E17:E18)</f>
        <v>163485.84</v>
      </c>
      <c r="F19" s="105">
        <v>8189</v>
      </c>
      <c r="G19" s="248">
        <f>SUM(G17:G18)</f>
        <v>159964.10999999999</v>
      </c>
      <c r="H19" s="330">
        <v>8865</v>
      </c>
      <c r="I19" s="26">
        <f>SUM(I17:I18)</f>
        <v>166695.35</v>
      </c>
      <c r="J19" s="157">
        <v>9059</v>
      </c>
      <c r="K19" s="248">
        <f>SUM(K17:K18)</f>
        <v>169230.38999999998</v>
      </c>
      <c r="L19" s="105">
        <v>8359</v>
      </c>
      <c r="M19" s="26">
        <f>SUM(M17:M18)</f>
        <v>154056.53</v>
      </c>
      <c r="N19" s="336">
        <v>9651</v>
      </c>
      <c r="O19" s="248">
        <f>SUM(O17:O18)</f>
        <v>161685.46</v>
      </c>
      <c r="P19" s="105">
        <v>9520</v>
      </c>
      <c r="Q19" s="26">
        <f>SUM(Q17:Q18)</f>
        <v>160244.76</v>
      </c>
      <c r="R19" s="336">
        <v>10176</v>
      </c>
      <c r="S19" s="248">
        <f>SUM(S17:S18)</f>
        <v>177903.68000000002</v>
      </c>
      <c r="T19" s="105">
        <v>10378</v>
      </c>
      <c r="U19" s="80">
        <f>U17+U18</f>
        <v>181085.74000000002</v>
      </c>
      <c r="V19" s="336">
        <v>10194</v>
      </c>
      <c r="W19" s="343">
        <f>W17+W18</f>
        <v>182149.94999999998</v>
      </c>
      <c r="X19" s="105">
        <v>9546</v>
      </c>
      <c r="Y19" s="34">
        <f>SUM(Y17:Y18)</f>
        <v>175193.32</v>
      </c>
      <c r="Z19" s="353">
        <f>SUM(B19,D19,F19,H19,J19,L19,N19,P19,R19,T19,V19,X19)</f>
        <v>110144</v>
      </c>
      <c r="AA19" s="345">
        <f>SUM(C19,E19,G19,I19,K19,M19,O19,Q19,S19,U19,W19,Y19)</f>
        <v>2001716.02</v>
      </c>
    </row>
    <row r="20" spans="1:30" x14ac:dyDescent="0.2">
      <c r="B20" s="225"/>
      <c r="C20" s="248"/>
      <c r="D20" s="90"/>
      <c r="E20" s="26"/>
      <c r="F20" s="90"/>
      <c r="G20" s="248"/>
      <c r="H20" s="328"/>
      <c r="I20" s="26"/>
      <c r="J20" s="98"/>
      <c r="K20" s="248"/>
      <c r="L20" s="90"/>
      <c r="M20" s="26"/>
      <c r="N20" s="247"/>
      <c r="O20" s="248"/>
      <c r="R20" s="255"/>
      <c r="S20" s="226"/>
      <c r="U20" s="77"/>
      <c r="V20" s="247"/>
      <c r="W20" s="262"/>
      <c r="X20" s="90"/>
      <c r="Z20" s="272"/>
      <c r="AA20" s="273"/>
    </row>
    <row r="21" spans="1:30" s="8" customFormat="1" ht="13.5" thickBot="1" x14ac:dyDescent="0.25">
      <c r="A21" s="360" t="s">
        <v>123</v>
      </c>
      <c r="B21" s="158"/>
      <c r="C21" s="159">
        <f>C14-C19</f>
        <v>153145.16000000003</v>
      </c>
      <c r="D21" s="160"/>
      <c r="E21" s="159">
        <f>E14-E19</f>
        <v>165470.56000000003</v>
      </c>
      <c r="F21" s="160"/>
      <c r="G21" s="159">
        <f>G14-G19</f>
        <v>145021.64000000001</v>
      </c>
      <c r="H21" s="161"/>
      <c r="I21" s="159">
        <f>I14-I19</f>
        <v>152537.67000000001</v>
      </c>
      <c r="J21" s="161"/>
      <c r="K21" s="159">
        <f>K14-K19</f>
        <v>164009.24000000002</v>
      </c>
      <c r="L21" s="160"/>
      <c r="M21" s="159">
        <f>M14-M19</f>
        <v>140891.79</v>
      </c>
      <c r="N21" s="160"/>
      <c r="O21" s="159">
        <f>O14-O19</f>
        <v>165128.18000000002</v>
      </c>
      <c r="P21" s="160"/>
      <c r="Q21" s="159">
        <f>Q14-Q19</f>
        <v>153375.74</v>
      </c>
      <c r="R21" s="161"/>
      <c r="S21" s="159">
        <f>S14-S19</f>
        <v>181647.59</v>
      </c>
      <c r="T21" s="160"/>
      <c r="U21" s="162">
        <f>U14-U19</f>
        <v>170223.23999999996</v>
      </c>
      <c r="V21" s="160"/>
      <c r="W21" s="159">
        <f>W14-W19</f>
        <v>169386.81000000003</v>
      </c>
      <c r="X21" s="160"/>
      <c r="Y21" s="159">
        <f>Y14-Y19</f>
        <v>257990.52000000002</v>
      </c>
      <c r="Z21" s="160"/>
      <c r="AA21" s="163">
        <f>SUM(AA14-AA19)</f>
        <v>2018828.1400000001</v>
      </c>
      <c r="AB21" s="60"/>
      <c r="AC21" s="60"/>
      <c r="AD21" s="60"/>
    </row>
    <row r="22" spans="1:30" x14ac:dyDescent="0.2">
      <c r="B22" s="225"/>
      <c r="C22" s="227"/>
      <c r="G22" s="227"/>
      <c r="H22" s="255"/>
      <c r="K22" s="227"/>
      <c r="N22" s="225"/>
      <c r="O22" s="248"/>
      <c r="R22" s="255"/>
      <c r="S22" s="226"/>
      <c r="V22" s="225"/>
      <c r="W22" s="226"/>
      <c r="Z22" s="272"/>
      <c r="AA22" s="273"/>
    </row>
    <row r="23" spans="1:30" x14ac:dyDescent="0.2">
      <c r="A23" s="165" t="s">
        <v>37</v>
      </c>
      <c r="B23" s="318">
        <f>B8+B9+B11</f>
        <v>8947</v>
      </c>
      <c r="C23" s="322">
        <v>2444914.88</v>
      </c>
      <c r="D23" s="92">
        <f>D8+D9+D11</f>
        <v>9659</v>
      </c>
      <c r="E23" s="57">
        <v>2458759.1800000002</v>
      </c>
      <c r="F23" s="92">
        <f>F8+F9+F11</f>
        <v>9364</v>
      </c>
      <c r="G23" s="322">
        <v>2544857.4500000002</v>
      </c>
      <c r="H23" s="318">
        <f>H8+H9+H11</f>
        <v>9856</v>
      </c>
      <c r="I23" s="57">
        <v>2659893.4</v>
      </c>
      <c r="J23" s="92">
        <f>J8+J9+J11</f>
        <v>9980</v>
      </c>
      <c r="K23" s="322">
        <v>2593397.9300000002</v>
      </c>
      <c r="L23" s="92">
        <f>L8+L9+L11</f>
        <v>9386</v>
      </c>
      <c r="M23" s="57">
        <v>2250702.5499999998</v>
      </c>
      <c r="N23" s="318">
        <f>N8+N9+N11</f>
        <v>10167</v>
      </c>
      <c r="O23" s="337">
        <v>2562427.73</v>
      </c>
      <c r="P23" s="92">
        <f>P8+P9+P11</f>
        <v>9965</v>
      </c>
      <c r="Q23" s="57">
        <v>2354875.9700000002</v>
      </c>
      <c r="R23" s="318">
        <f>R8+R9+R11</f>
        <v>11000</v>
      </c>
      <c r="S23" s="339">
        <v>2629124.2000000002</v>
      </c>
      <c r="T23" s="92">
        <f>T8+T9+T11</f>
        <v>10591</v>
      </c>
      <c r="U23" s="58">
        <v>2401478.94</v>
      </c>
      <c r="V23" s="318">
        <f>V8+V9+V11</f>
        <v>10498</v>
      </c>
      <c r="W23" s="339">
        <v>2219353.96</v>
      </c>
      <c r="X23" s="92">
        <f>X8+X9+X11</f>
        <v>10431</v>
      </c>
      <c r="Y23" s="58">
        <v>2866989.82</v>
      </c>
      <c r="Z23" s="354">
        <f>SUM(B23,D23,F23,H23,J23,L23,N23,P23,R23,T23,V23,X23)</f>
        <v>119844</v>
      </c>
      <c r="AA23" s="355">
        <f>SUM(C23,E23,G23,I23,K23,M23,O23,Q23,S23,U23,W23,Y23)</f>
        <v>29986776.010000002</v>
      </c>
    </row>
    <row r="24" spans="1:30" x14ac:dyDescent="0.2">
      <c r="A24" s="46" t="s">
        <v>41</v>
      </c>
      <c r="B24" s="225"/>
      <c r="C24" s="323">
        <f>C21/C23</f>
        <v>6.2638237941437067E-2</v>
      </c>
      <c r="E24" s="50">
        <f>E21/E23</f>
        <v>6.729840048833087E-2</v>
      </c>
      <c r="G24" s="323">
        <f>G21/G23</f>
        <v>5.6986154568304012E-2</v>
      </c>
      <c r="H24" s="255"/>
      <c r="I24" s="50">
        <f>I21/I23</f>
        <v>5.7347286925107606E-2</v>
      </c>
      <c r="K24" s="323">
        <f>K21/K23</f>
        <v>6.3241062276933338E-2</v>
      </c>
      <c r="M24" s="50">
        <f>M21/M23</f>
        <v>6.2599027134882843E-2</v>
      </c>
      <c r="N24" s="225"/>
      <c r="O24" s="323">
        <f>O21/O23</f>
        <v>6.4442082821200203E-2</v>
      </c>
      <c r="Q24" s="50">
        <f>Q21/Q23</f>
        <v>6.513113299975623E-2</v>
      </c>
      <c r="R24" s="255"/>
      <c r="S24" s="340">
        <f>S21/S23</f>
        <v>6.9090532124728071E-2</v>
      </c>
      <c r="U24" s="70">
        <f>U21/U23</f>
        <v>7.0882670326478048E-2</v>
      </c>
      <c r="V24" s="225"/>
      <c r="W24" s="340">
        <f>W21/W23</f>
        <v>7.6322575421903419E-2</v>
      </c>
      <c r="Y24" s="50">
        <f>Y21/Y23</f>
        <v>8.9986549027927853E-2</v>
      </c>
      <c r="Z24" s="272"/>
      <c r="AA24" s="356">
        <f>AA21/AA23</f>
        <v>6.7323947707041282E-2</v>
      </c>
    </row>
    <row r="26" spans="1:30" x14ac:dyDescent="0.2">
      <c r="A26" s="61"/>
    </row>
    <row r="27" spans="1:30" s="216" customFormat="1" x14ac:dyDescent="0.2">
      <c r="A27" s="437" t="s">
        <v>49</v>
      </c>
      <c r="B27" s="215"/>
      <c r="D27" s="215"/>
      <c r="F27" s="215"/>
      <c r="H27" s="217"/>
      <c r="J27" s="217"/>
      <c r="L27" s="215"/>
      <c r="N27" s="215"/>
      <c r="O27" s="438"/>
      <c r="P27" s="439"/>
      <c r="R27" s="217"/>
      <c r="S27" s="440"/>
      <c r="T27" s="215"/>
      <c r="U27" s="441"/>
      <c r="V27" s="215"/>
      <c r="W27" s="440"/>
      <c r="X27" s="215"/>
      <c r="Y27" s="440"/>
      <c r="Z27" s="215"/>
      <c r="AA27" s="440"/>
    </row>
    <row r="30" spans="1:30" x14ac:dyDescent="0.2">
      <c r="E30" s="51"/>
    </row>
    <row r="31" spans="1:30" x14ac:dyDescent="0.2">
      <c r="AA31" s="38"/>
    </row>
    <row r="33" spans="21:21" x14ac:dyDescent="0.2">
      <c r="U33" s="80"/>
    </row>
  </sheetData>
  <pageMargins left="0.17" right="0.16" top="1" bottom="1" header="0.5" footer="0.5"/>
  <pageSetup scale="52" orientation="landscape" cellComments="asDisplayed" r:id="rId1"/>
  <headerFooter alignWithMargins="0">
    <oddFooter xml:space="preserve">&amp;L&amp;F&amp;RPrepared by Kathy Adair
&amp;D
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Normal="100" workbookViewId="0">
      <pane xSplit="1" topLeftCell="B1" activePane="topRight" state="frozen"/>
      <selection activeCell="A4" sqref="A4"/>
      <selection pane="topRight" activeCell="A4" sqref="A4"/>
    </sheetView>
  </sheetViews>
  <sheetFormatPr defaultRowHeight="12.75" x14ac:dyDescent="0.2"/>
  <cols>
    <col min="1" max="1" width="33.7109375" customWidth="1"/>
    <col min="2" max="2" width="5.5703125" style="88" bestFit="1" customWidth="1"/>
    <col min="3" max="3" width="11.28515625" bestFit="1" customWidth="1"/>
    <col min="4" max="4" width="5.5703125" style="88" bestFit="1" customWidth="1"/>
    <col min="5" max="5" width="11.28515625" bestFit="1" customWidth="1"/>
    <col min="6" max="6" width="5.5703125" style="88" bestFit="1" customWidth="1"/>
    <col min="7" max="7" width="11.28515625" bestFit="1" customWidth="1"/>
    <col min="8" max="8" width="5.5703125" style="96" bestFit="1" customWidth="1"/>
    <col min="9" max="9" width="11.28515625" customWidth="1"/>
    <col min="10" max="10" width="5.5703125" style="96" customWidth="1"/>
    <col min="11" max="11" width="11.28515625" customWidth="1"/>
    <col min="12" max="12" width="5.5703125" style="88" customWidth="1"/>
    <col min="13" max="13" width="11.28515625" customWidth="1"/>
    <col min="14" max="14" width="5.5703125" style="88" bestFit="1" customWidth="1"/>
    <col min="15" max="15" width="11.28515625" style="26" bestFit="1" customWidth="1"/>
    <col min="16" max="16" width="5.5703125" style="90" customWidth="1"/>
    <col min="17" max="17" width="11.28515625" customWidth="1"/>
    <col min="18" max="18" width="6.5703125" style="96" bestFit="1" customWidth="1"/>
    <col min="19" max="19" width="11.28515625" style="6" customWidth="1"/>
    <col min="20" max="20" width="5.5703125" style="88" bestFit="1" customWidth="1"/>
    <col min="21" max="21" width="11.28515625" style="71" bestFit="1" customWidth="1"/>
    <col min="22" max="22" width="5.5703125" style="88" bestFit="1" customWidth="1"/>
    <col min="23" max="23" width="11.28515625" style="6" bestFit="1" customWidth="1"/>
    <col min="24" max="24" width="6.5703125" style="88" bestFit="1" customWidth="1"/>
    <col min="25" max="25" width="11.28515625" style="6" bestFit="1" customWidth="1"/>
    <col min="26" max="26" width="7.5703125" style="88" bestFit="1" customWidth="1"/>
    <col min="27" max="27" width="12.28515625" style="6" bestFit="1" customWidth="1"/>
  </cols>
  <sheetData>
    <row r="1" spans="1:29" ht="21.75" hidden="1" x14ac:dyDescent="0.3">
      <c r="A1" s="9" t="s">
        <v>55</v>
      </c>
      <c r="B1" s="93"/>
      <c r="C1" s="9"/>
      <c r="D1" s="93"/>
      <c r="E1" s="9"/>
      <c r="F1" s="93"/>
      <c r="G1" s="9"/>
      <c r="H1" s="95"/>
      <c r="I1" s="9"/>
      <c r="J1" s="95"/>
      <c r="K1" s="9"/>
      <c r="L1" s="93"/>
      <c r="M1" s="9"/>
      <c r="N1" s="93"/>
    </row>
    <row r="2" spans="1:29" hidden="1" x14ac:dyDescent="0.2"/>
    <row r="3" spans="1:29" ht="18" x14ac:dyDescent="0.25">
      <c r="A3" s="152" t="s">
        <v>54</v>
      </c>
    </row>
    <row r="4" spans="1:29" x14ac:dyDescent="0.2">
      <c r="Z4" s="272" t="s">
        <v>29</v>
      </c>
      <c r="AA4" s="273" t="s">
        <v>29</v>
      </c>
    </row>
    <row r="5" spans="1:29" x14ac:dyDescent="0.2">
      <c r="B5" s="22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88" t="s">
        <v>38</v>
      </c>
      <c r="I5" s="6" t="s">
        <v>24</v>
      </c>
      <c r="J5" s="225" t="s">
        <v>38</v>
      </c>
      <c r="K5" s="226" t="s">
        <v>25</v>
      </c>
      <c r="L5" s="88" t="s">
        <v>38</v>
      </c>
      <c r="M5" s="6" t="s">
        <v>20</v>
      </c>
      <c r="N5" s="225" t="s">
        <v>38</v>
      </c>
      <c r="O5" s="331" t="s">
        <v>4</v>
      </c>
      <c r="P5" s="88" t="s">
        <v>38</v>
      </c>
      <c r="Q5" t="s">
        <v>5</v>
      </c>
      <c r="R5" s="225" t="s">
        <v>38</v>
      </c>
      <c r="S5" s="226" t="s">
        <v>6</v>
      </c>
      <c r="T5" s="88" t="s">
        <v>38</v>
      </c>
      <c r="U5" s="72" t="s">
        <v>7</v>
      </c>
      <c r="V5" s="225" t="s">
        <v>38</v>
      </c>
      <c r="W5" s="226" t="s">
        <v>8</v>
      </c>
      <c r="X5" s="88" t="s">
        <v>38</v>
      </c>
      <c r="Y5" s="6" t="s">
        <v>9</v>
      </c>
      <c r="Z5" s="272" t="s">
        <v>38</v>
      </c>
      <c r="AA5" s="274" t="s">
        <v>52</v>
      </c>
    </row>
    <row r="6" spans="1:29" x14ac:dyDescent="0.2">
      <c r="B6" s="225"/>
      <c r="C6" s="226"/>
      <c r="E6" s="6"/>
      <c r="F6" s="225"/>
      <c r="G6" s="226"/>
      <c r="I6" s="6"/>
      <c r="J6" s="255"/>
      <c r="K6" s="226"/>
      <c r="M6" s="6"/>
      <c r="N6" s="225"/>
      <c r="O6" s="331"/>
      <c r="P6" s="105"/>
      <c r="R6" s="255"/>
      <c r="S6" s="226"/>
      <c r="U6" s="72"/>
      <c r="V6" s="336"/>
      <c r="W6" s="226"/>
      <c r="Z6" s="272"/>
      <c r="AA6" s="273"/>
    </row>
    <row r="7" spans="1:29" s="29" customFormat="1" x14ac:dyDescent="0.2">
      <c r="A7" s="21" t="s">
        <v>118</v>
      </c>
      <c r="B7" s="313"/>
      <c r="C7" s="314"/>
      <c r="D7" s="89"/>
      <c r="E7" s="28"/>
      <c r="F7" s="247"/>
      <c r="G7" s="314"/>
      <c r="H7" s="97"/>
      <c r="I7" s="28"/>
      <c r="J7" s="324"/>
      <c r="K7" s="314"/>
      <c r="L7" s="89"/>
      <c r="M7" s="28"/>
      <c r="N7" s="327"/>
      <c r="O7" s="332"/>
      <c r="P7" s="104"/>
      <c r="R7" s="327"/>
      <c r="S7" s="314"/>
      <c r="T7" s="89"/>
      <c r="U7" s="73"/>
      <c r="V7" s="313"/>
      <c r="W7" s="332"/>
      <c r="X7" s="89"/>
      <c r="Y7" s="28"/>
      <c r="Z7" s="344"/>
      <c r="AA7" s="345"/>
    </row>
    <row r="8" spans="1:29" s="29" customFormat="1" x14ac:dyDescent="0.2">
      <c r="A8" s="27" t="s">
        <v>119</v>
      </c>
      <c r="B8" s="313">
        <v>1898</v>
      </c>
      <c r="C8" s="314">
        <v>51412.89</v>
      </c>
      <c r="D8" s="89">
        <v>2018</v>
      </c>
      <c r="E8" s="28">
        <v>55347.22</v>
      </c>
      <c r="F8" s="247">
        <v>2082</v>
      </c>
      <c r="G8" s="314">
        <v>54770.54</v>
      </c>
      <c r="H8" s="97">
        <v>2190</v>
      </c>
      <c r="I8" s="28">
        <v>58822.87</v>
      </c>
      <c r="J8" s="324">
        <v>1737</v>
      </c>
      <c r="K8" s="314">
        <v>45691.77</v>
      </c>
      <c r="L8" s="89">
        <v>1758</v>
      </c>
      <c r="M8" s="28">
        <v>45121.22</v>
      </c>
      <c r="N8" s="327">
        <v>2025</v>
      </c>
      <c r="O8" s="262">
        <v>63785.27</v>
      </c>
      <c r="P8" s="104">
        <v>1947</v>
      </c>
      <c r="Q8" s="29">
        <v>59186.77</v>
      </c>
      <c r="R8" s="313">
        <v>2272</v>
      </c>
      <c r="S8" s="314">
        <v>74945.23</v>
      </c>
      <c r="T8" s="89">
        <v>2104</v>
      </c>
      <c r="U8" s="73">
        <v>65285.03</v>
      </c>
      <c r="V8" s="313">
        <v>2118</v>
      </c>
      <c r="W8" s="332">
        <v>68067.539999999994</v>
      </c>
      <c r="X8" s="89">
        <v>2313</v>
      </c>
      <c r="Y8" s="28">
        <v>74388.45</v>
      </c>
      <c r="Z8" s="344">
        <f>SUM(B8,D8,F8,H8,J8,L8,N8,P8,R8,T8,V8,X8)</f>
        <v>24462</v>
      </c>
      <c r="AA8" s="346">
        <f>SUM(C8,E8,G8,I8,K8,M8,O8,Q8,S8,U8,W8,Y8)</f>
        <v>716824.8</v>
      </c>
    </row>
    <row r="9" spans="1:29" x14ac:dyDescent="0.2">
      <c r="A9" t="s">
        <v>120</v>
      </c>
      <c r="B9" s="225">
        <v>5090</v>
      </c>
      <c r="C9" s="262">
        <v>160510.53</v>
      </c>
      <c r="D9" s="90">
        <v>5437</v>
      </c>
      <c r="E9" s="30">
        <v>177326.22</v>
      </c>
      <c r="F9" s="247">
        <v>5327</v>
      </c>
      <c r="G9" s="262">
        <v>166444.26</v>
      </c>
      <c r="H9" s="98">
        <v>5591</v>
      </c>
      <c r="I9" s="30">
        <v>173331.72</v>
      </c>
      <c r="J9" s="328">
        <v>4967</v>
      </c>
      <c r="K9" s="262">
        <v>162492.32</v>
      </c>
      <c r="L9" s="90">
        <v>4702</v>
      </c>
      <c r="M9" s="30">
        <v>148354.92000000001</v>
      </c>
      <c r="N9" s="247">
        <v>5151</v>
      </c>
      <c r="O9" s="331">
        <v>133319.26999999999</v>
      </c>
      <c r="P9" s="105">
        <v>5522</v>
      </c>
      <c r="Q9" s="26">
        <v>123519.7</v>
      </c>
      <c r="R9" s="247">
        <v>6081</v>
      </c>
      <c r="S9" s="262">
        <v>145714.29</v>
      </c>
      <c r="T9" s="90">
        <v>5600</v>
      </c>
      <c r="U9" s="154">
        <v>147671.54</v>
      </c>
      <c r="V9" s="336">
        <v>5918</v>
      </c>
      <c r="W9" s="331">
        <v>148526.5</v>
      </c>
      <c r="X9" s="90">
        <v>5838</v>
      </c>
      <c r="Y9" s="30">
        <v>143989.9</v>
      </c>
      <c r="Z9" s="351">
        <f>SUM(B9,D9,F9,H9,J9,L9,N9,P9,R9,T9,V9,X9)</f>
        <v>65224</v>
      </c>
      <c r="AA9" s="345">
        <f>SUM(C9,E9,G9,I9,K9,M9,O9,Q9,S9,U9,W9,Y9)</f>
        <v>1831201.17</v>
      </c>
    </row>
    <row r="10" spans="1:29" x14ac:dyDescent="0.2">
      <c r="A10" t="s">
        <v>32</v>
      </c>
      <c r="B10" s="318">
        <v>1271</v>
      </c>
      <c r="C10" s="316">
        <v>31648.2</v>
      </c>
      <c r="D10" s="91">
        <v>1315</v>
      </c>
      <c r="E10" s="31">
        <v>39919.89</v>
      </c>
      <c r="F10" s="335">
        <v>1369</v>
      </c>
      <c r="G10" s="316">
        <v>41772.879999999997</v>
      </c>
      <c r="H10" s="99">
        <v>1375</v>
      </c>
      <c r="I10" s="31">
        <v>42932.41</v>
      </c>
      <c r="J10" s="326">
        <v>1174</v>
      </c>
      <c r="K10" s="316">
        <v>33529.040000000001</v>
      </c>
      <c r="L10" s="91">
        <v>1003</v>
      </c>
      <c r="M10" s="31">
        <v>35752.879999999997</v>
      </c>
      <c r="N10" s="335">
        <v>1096</v>
      </c>
      <c r="O10" s="334">
        <v>34516.300000000003</v>
      </c>
      <c r="P10" s="91">
        <v>964</v>
      </c>
      <c r="Q10" s="33">
        <v>41467.64</v>
      </c>
      <c r="R10" s="335">
        <f>341+1+250+446+3+240</f>
        <v>1281</v>
      </c>
      <c r="S10" s="338">
        <f>8234+42406.93</f>
        <v>50640.93</v>
      </c>
      <c r="T10" s="91">
        <f>257+227+349+2+213</f>
        <v>1048</v>
      </c>
      <c r="U10" s="155">
        <f>9339.5+37701.42</f>
        <v>47040.92</v>
      </c>
      <c r="V10" s="342">
        <f>278+8+202+334+5+172</f>
        <v>999</v>
      </c>
      <c r="W10" s="316">
        <f>8813+27818.02</f>
        <v>36631.020000000004</v>
      </c>
      <c r="X10" s="91">
        <f>329+2+241+330+1+157</f>
        <v>1060</v>
      </c>
      <c r="Y10" s="32">
        <f>12005.5+30353.17</f>
        <v>42358.67</v>
      </c>
      <c r="Z10" s="350">
        <f>SUM(B10,D10,F10,H10,J10,L10,N10,Q10,R10,T10,V10,X10)</f>
        <v>54458.64</v>
      </c>
      <c r="AA10" s="347">
        <f>SUM(C10,E10,G10,I10,K10,M10,O10,Q10,S10,U10,W10,Y10)</f>
        <v>478210.78</v>
      </c>
      <c r="AC10" s="164"/>
    </row>
    <row r="11" spans="1:29" x14ac:dyDescent="0.2">
      <c r="A11" t="s">
        <v>125</v>
      </c>
      <c r="B11" s="225"/>
      <c r="C11" s="319">
        <f>SUM(C8:C10)</f>
        <v>243571.62</v>
      </c>
      <c r="D11" s="89"/>
      <c r="E11" s="29">
        <f>SUM(E8:E10)</f>
        <v>272593.33</v>
      </c>
      <c r="F11" s="327"/>
      <c r="G11" s="319">
        <f>SUM(G8:G10)</f>
        <v>262987.68</v>
      </c>
      <c r="H11" s="97"/>
      <c r="I11" s="29">
        <f>SUM(I8:I10)</f>
        <v>275087</v>
      </c>
      <c r="J11" s="324"/>
      <c r="K11" s="319">
        <f>SUM(K8:K10)</f>
        <v>241713.13</v>
      </c>
      <c r="L11" s="89"/>
      <c r="M11" s="29">
        <f>SUM(M8:M10)</f>
        <v>229229.02000000002</v>
      </c>
      <c r="N11" s="327"/>
      <c r="O11" s="319">
        <f>SUM(O8:O10)</f>
        <v>231620.83999999997</v>
      </c>
      <c r="P11" s="89"/>
      <c r="Q11" s="29">
        <f>SUM(Q8:Q10)</f>
        <v>224174.11</v>
      </c>
      <c r="R11" s="357"/>
      <c r="S11" s="319">
        <f>SUM(S8:S10)</f>
        <v>271300.45</v>
      </c>
      <c r="T11" s="89"/>
      <c r="U11" s="29">
        <f>SUM(U8:U10)</f>
        <v>259997.49</v>
      </c>
      <c r="V11" s="327"/>
      <c r="W11" s="319">
        <f>SUM(W8:W10)</f>
        <v>253225.06</v>
      </c>
      <c r="X11" s="89"/>
      <c r="Y11" s="29">
        <f>SUM(Y8:Y10)</f>
        <v>260737.01999999996</v>
      </c>
      <c r="Z11" s="344"/>
      <c r="AA11" s="349">
        <f>SUM(C11,E11,G11,I11,K11,M11,O11,Q11,S11,U11,W11,Y11)</f>
        <v>3026236.75</v>
      </c>
    </row>
    <row r="12" spans="1:29" x14ac:dyDescent="0.2">
      <c r="A12" t="s">
        <v>126</v>
      </c>
      <c r="B12" s="318"/>
      <c r="C12" s="320">
        <v>33333.339999999997</v>
      </c>
      <c r="D12" s="91"/>
      <c r="E12" s="33">
        <v>33333.33</v>
      </c>
      <c r="F12" s="335"/>
      <c r="G12" s="320">
        <v>33333.33</v>
      </c>
      <c r="H12" s="99"/>
      <c r="I12" s="33">
        <v>33333.339999999997</v>
      </c>
      <c r="J12" s="326"/>
      <c r="K12" s="320">
        <v>33333.33</v>
      </c>
      <c r="L12" s="91"/>
      <c r="M12" s="33">
        <v>33333.33</v>
      </c>
      <c r="N12" s="335"/>
      <c r="O12" s="320">
        <v>33333.339999999997</v>
      </c>
      <c r="P12" s="91"/>
      <c r="Q12" s="33">
        <v>33333.33</v>
      </c>
      <c r="R12" s="326"/>
      <c r="S12" s="320">
        <v>33333.33</v>
      </c>
      <c r="T12" s="91"/>
      <c r="U12" s="33">
        <v>33333.339999999997</v>
      </c>
      <c r="V12" s="335"/>
      <c r="W12" s="316">
        <v>33333.33</v>
      </c>
      <c r="X12" s="91"/>
      <c r="Y12" s="31">
        <v>33333.33</v>
      </c>
      <c r="Z12" s="350"/>
      <c r="AA12" s="347">
        <f>SUM(C12,E12,G12,I12,K12,M12,O12,Q12,S12,U12,W12,Y12)</f>
        <v>400000</v>
      </c>
    </row>
    <row r="13" spans="1:29" x14ac:dyDescent="0.2">
      <c r="A13" t="s">
        <v>124</v>
      </c>
      <c r="B13" s="225"/>
      <c r="C13" s="248">
        <f>SUM(C11:C12)</f>
        <v>276904.95999999996</v>
      </c>
      <c r="D13" s="90"/>
      <c r="E13" s="26">
        <f>SUM(E11:E12)</f>
        <v>305926.66000000003</v>
      </c>
      <c r="F13" s="247"/>
      <c r="G13" s="248">
        <f>SUM(G11:G12)</f>
        <v>296321.01</v>
      </c>
      <c r="H13" s="98"/>
      <c r="I13" s="26">
        <f>SUM(I11:I12)</f>
        <v>308420.33999999997</v>
      </c>
      <c r="J13" s="328"/>
      <c r="K13" s="248">
        <f>SUM(K11:K12)</f>
        <v>275046.46000000002</v>
      </c>
      <c r="L13" s="90"/>
      <c r="M13" s="26">
        <f>SUM(M11:M12)</f>
        <v>262562.35000000003</v>
      </c>
      <c r="N13" s="247"/>
      <c r="O13" s="248">
        <f>SUM(O11:O12)</f>
        <v>264954.17999999993</v>
      </c>
      <c r="Q13" s="26">
        <f>SUM(Q11:Q12)</f>
        <v>257507.44</v>
      </c>
      <c r="R13" s="328"/>
      <c r="S13" s="248">
        <f>SUM(S11:S12)</f>
        <v>304633.78000000003</v>
      </c>
      <c r="T13" s="90"/>
      <c r="U13" s="26">
        <f>SUM(U11:U12)</f>
        <v>293330.82999999996</v>
      </c>
      <c r="V13" s="247"/>
      <c r="W13" s="262">
        <f>SUM(W11:W12)</f>
        <v>286558.39</v>
      </c>
      <c r="X13" s="90"/>
      <c r="Y13" s="30">
        <f>SUM(Y11:Y12)</f>
        <v>294070.34999999998</v>
      </c>
      <c r="Z13" s="351"/>
      <c r="AA13" s="345">
        <f>SUM(C13,E13,G13,I13,K13,M13,O13,Q13,S13,U13,W13,Y13)</f>
        <v>3426236.75</v>
      </c>
    </row>
    <row r="14" spans="1:29" x14ac:dyDescent="0.2">
      <c r="B14" s="225"/>
      <c r="C14" s="248"/>
      <c r="D14" s="90"/>
      <c r="E14" s="26"/>
      <c r="F14" s="247"/>
      <c r="G14" s="248"/>
      <c r="H14" s="98"/>
      <c r="J14" s="255"/>
      <c r="K14" s="227"/>
      <c r="N14" s="225"/>
      <c r="O14" s="248"/>
      <c r="R14" s="255"/>
      <c r="S14" s="226"/>
      <c r="U14" s="77"/>
      <c r="V14" s="247"/>
      <c r="W14" s="262"/>
      <c r="X14" s="90"/>
      <c r="Z14" s="272"/>
      <c r="AA14" s="273"/>
    </row>
    <row r="15" spans="1:29" x14ac:dyDescent="0.2">
      <c r="A15" t="s">
        <v>122</v>
      </c>
      <c r="B15" s="225"/>
      <c r="C15" s="227"/>
      <c r="D15" s="90"/>
      <c r="E15" s="26"/>
      <c r="F15" s="247"/>
      <c r="G15" s="248"/>
      <c r="H15" s="98"/>
      <c r="J15" s="255"/>
      <c r="K15" s="227"/>
      <c r="N15" s="225"/>
      <c r="O15" s="248"/>
      <c r="R15" s="255"/>
      <c r="S15" s="226"/>
      <c r="U15" s="77"/>
      <c r="V15" s="247"/>
      <c r="W15" s="262"/>
      <c r="X15" s="90"/>
      <c r="Z15" s="272"/>
      <c r="AA15" s="273"/>
    </row>
    <row r="16" spans="1:29" x14ac:dyDescent="0.2">
      <c r="A16" s="4" t="s">
        <v>57</v>
      </c>
      <c r="B16" s="225"/>
      <c r="C16" s="248">
        <v>137215</v>
      </c>
      <c r="D16" s="90"/>
      <c r="E16" s="34">
        <v>144255</v>
      </c>
      <c r="F16" s="247"/>
      <c r="G16" s="329">
        <v>145663</v>
      </c>
      <c r="H16" s="98"/>
      <c r="I16" s="34">
        <v>146238.04999999999</v>
      </c>
      <c r="J16" s="328"/>
      <c r="K16" s="329">
        <v>123516.6</v>
      </c>
      <c r="L16" s="90"/>
      <c r="M16" s="66">
        <v>96658.94</v>
      </c>
      <c r="N16" s="225"/>
      <c r="O16" s="248">
        <v>129090.33</v>
      </c>
      <c r="Q16" s="26">
        <v>129660.73</v>
      </c>
      <c r="R16" s="328"/>
      <c r="S16" s="262">
        <v>146909.57</v>
      </c>
      <c r="T16" s="90"/>
      <c r="U16" s="26">
        <v>137933.67000000001</v>
      </c>
      <c r="V16" s="247"/>
      <c r="W16" s="262">
        <v>125149.27</v>
      </c>
      <c r="X16" s="90"/>
      <c r="Y16" s="156">
        <v>66462.740000000005</v>
      </c>
      <c r="Z16" s="272"/>
      <c r="AA16" s="352">
        <f>SUM(C16:Y16)</f>
        <v>1528752.9000000001</v>
      </c>
    </row>
    <row r="17" spans="1:30" x14ac:dyDescent="0.2">
      <c r="A17" s="4" t="s">
        <v>34</v>
      </c>
      <c r="B17" s="318"/>
      <c r="C17" s="321">
        <v>23031</v>
      </c>
      <c r="D17" s="91"/>
      <c r="E17" s="35">
        <v>25179</v>
      </c>
      <c r="F17" s="335"/>
      <c r="G17" s="321">
        <v>25479</v>
      </c>
      <c r="H17" s="99"/>
      <c r="I17" s="35">
        <v>25581</v>
      </c>
      <c r="J17" s="326"/>
      <c r="K17" s="321">
        <v>24273</v>
      </c>
      <c r="L17" s="91"/>
      <c r="M17" s="67">
        <v>22841.17</v>
      </c>
      <c r="N17" s="318"/>
      <c r="O17" s="320">
        <v>31038.58</v>
      </c>
      <c r="P17" s="91"/>
      <c r="Q17" s="33">
        <v>30909.48</v>
      </c>
      <c r="R17" s="326"/>
      <c r="S17" s="316">
        <v>34741.800000000003</v>
      </c>
      <c r="T17" s="91"/>
      <c r="U17" s="33">
        <v>32965.56</v>
      </c>
      <c r="V17" s="335"/>
      <c r="W17" s="316">
        <v>26982.62</v>
      </c>
      <c r="X17" s="91"/>
      <c r="Y17" s="35">
        <v>4217.54</v>
      </c>
      <c r="Z17" s="350"/>
      <c r="AA17" s="347">
        <f>SUM(C17:Y17)</f>
        <v>307239.75</v>
      </c>
    </row>
    <row r="18" spans="1:30" x14ac:dyDescent="0.2">
      <c r="A18" t="s">
        <v>63</v>
      </c>
      <c r="B18" s="225">
        <v>7685</v>
      </c>
      <c r="C18" s="248">
        <f>SUM(C16:C17)</f>
        <v>160246</v>
      </c>
      <c r="D18" s="105">
        <v>8411</v>
      </c>
      <c r="E18" s="26">
        <f>SUM(E16:E17)</f>
        <v>169434</v>
      </c>
      <c r="F18" s="336">
        <v>8525</v>
      </c>
      <c r="G18" s="248">
        <f>SUM(G16:G17)</f>
        <v>171142</v>
      </c>
      <c r="H18" s="157">
        <v>8553</v>
      </c>
      <c r="I18" s="26">
        <f>SUM(I16:I17)</f>
        <v>171819.05</v>
      </c>
      <c r="J18" s="330">
        <v>8141</v>
      </c>
      <c r="K18" s="248">
        <f>SUM(K16:K17)</f>
        <v>147789.6</v>
      </c>
      <c r="L18" s="105">
        <v>7609</v>
      </c>
      <c r="M18" s="26">
        <f>SUM(M16:M17)</f>
        <v>119500.11</v>
      </c>
      <c r="N18" s="336">
        <v>9245</v>
      </c>
      <c r="O18" s="248">
        <f>SUM(O16:O17)</f>
        <v>160128.91</v>
      </c>
      <c r="P18" s="105">
        <v>9043</v>
      </c>
      <c r="Q18" s="26">
        <f>SUM(Q16:Q17)</f>
        <v>160570.21</v>
      </c>
      <c r="R18" s="336">
        <v>10203</v>
      </c>
      <c r="S18" s="248">
        <f>SUM(S16:S17)</f>
        <v>181651.37</v>
      </c>
      <c r="T18" s="105">
        <v>9588</v>
      </c>
      <c r="U18" s="80">
        <f>U16+U17</f>
        <v>170899.23</v>
      </c>
      <c r="V18" s="336">
        <v>7775</v>
      </c>
      <c r="W18" s="343">
        <f>W16+W17</f>
        <v>152131.89000000001</v>
      </c>
      <c r="X18" s="105">
        <v>14908</v>
      </c>
      <c r="Y18" s="34">
        <f>SUM(Y16:Y17)</f>
        <v>70680.28</v>
      </c>
      <c r="Z18" s="353">
        <f>SUM(B18,D18,F18,H18,J18,L18,N18,P18,R18,T18,V18,X18)</f>
        <v>109686</v>
      </c>
      <c r="AA18" s="345">
        <f>SUM(C18,E18,G18,I18,K18,M18,O18,Q18,S18,U18,W18,Y18)</f>
        <v>1835992.6500000001</v>
      </c>
    </row>
    <row r="19" spans="1:30" x14ac:dyDescent="0.2">
      <c r="B19" s="225"/>
      <c r="C19" s="248"/>
      <c r="D19" s="90"/>
      <c r="E19" s="26"/>
      <c r="F19" s="247"/>
      <c r="G19" s="248"/>
      <c r="H19" s="98"/>
      <c r="I19" s="26"/>
      <c r="J19" s="328"/>
      <c r="K19" s="248"/>
      <c r="L19" s="90"/>
      <c r="M19" s="26"/>
      <c r="N19" s="247"/>
      <c r="O19" s="248"/>
      <c r="R19" s="255"/>
      <c r="S19" s="226"/>
      <c r="U19" s="77"/>
      <c r="V19" s="247"/>
      <c r="W19" s="262"/>
      <c r="X19" s="90"/>
      <c r="Z19" s="272"/>
      <c r="AA19" s="273"/>
    </row>
    <row r="20" spans="1:30" s="8" customFormat="1" ht="13.5" thickBot="1" x14ac:dyDescent="0.25">
      <c r="A20" s="361" t="s">
        <v>123</v>
      </c>
      <c r="B20" s="158"/>
      <c r="C20" s="159">
        <f>C13-C18</f>
        <v>116658.95999999996</v>
      </c>
      <c r="D20" s="160"/>
      <c r="E20" s="159">
        <f>E13-E18</f>
        <v>136492.66000000003</v>
      </c>
      <c r="F20" s="160"/>
      <c r="G20" s="159">
        <f>G13-G18</f>
        <v>125179.01000000001</v>
      </c>
      <c r="H20" s="161"/>
      <c r="I20" s="159">
        <f>I13-I18</f>
        <v>136601.28999999998</v>
      </c>
      <c r="J20" s="161"/>
      <c r="K20" s="159">
        <f>K13-K18</f>
        <v>127256.86000000002</v>
      </c>
      <c r="L20" s="160"/>
      <c r="M20" s="159">
        <f>M13-M18</f>
        <v>143062.24000000005</v>
      </c>
      <c r="N20" s="160"/>
      <c r="O20" s="159">
        <f>O13-O18</f>
        <v>104825.26999999993</v>
      </c>
      <c r="P20" s="160"/>
      <c r="Q20" s="159">
        <f>Q13-Q18</f>
        <v>96937.23000000001</v>
      </c>
      <c r="R20" s="161"/>
      <c r="S20" s="159">
        <f>S13-S18</f>
        <v>122982.41000000003</v>
      </c>
      <c r="T20" s="160"/>
      <c r="U20" s="162">
        <f>U13-U18</f>
        <v>122431.59999999995</v>
      </c>
      <c r="V20" s="160"/>
      <c r="W20" s="159">
        <f>W13-W18</f>
        <v>134426.5</v>
      </c>
      <c r="X20" s="160"/>
      <c r="Y20" s="159">
        <f>Y13-Y18</f>
        <v>223390.06999999998</v>
      </c>
      <c r="Z20" s="160"/>
      <c r="AA20" s="163">
        <f>SUM(AA13-AA18)</f>
        <v>1590244.0999999999</v>
      </c>
      <c r="AB20" s="60"/>
      <c r="AC20" s="60"/>
      <c r="AD20" s="60"/>
    </row>
    <row r="21" spans="1:30" x14ac:dyDescent="0.2">
      <c r="B21" s="225"/>
      <c r="C21" s="227"/>
      <c r="F21" s="225"/>
      <c r="G21" s="227"/>
      <c r="J21" s="255"/>
      <c r="K21" s="227"/>
      <c r="N21" s="225"/>
      <c r="O21" s="248"/>
      <c r="R21" s="255"/>
      <c r="S21" s="226"/>
      <c r="V21" s="225"/>
      <c r="W21" s="226"/>
      <c r="Z21" s="272"/>
      <c r="AA21" s="273"/>
    </row>
    <row r="22" spans="1:30" x14ac:dyDescent="0.2">
      <c r="A22" t="s">
        <v>37</v>
      </c>
      <c r="B22" s="318">
        <f>B8+B9+B10</f>
        <v>8259</v>
      </c>
      <c r="C22" s="322">
        <v>2273353</v>
      </c>
      <c r="D22" s="92">
        <f>D8+D9+D10</f>
        <v>8770</v>
      </c>
      <c r="E22" s="57">
        <v>2427965</v>
      </c>
      <c r="F22" s="318">
        <f>F8+F9+F10</f>
        <v>8778</v>
      </c>
      <c r="G22" s="322">
        <v>2314796</v>
      </c>
      <c r="H22" s="92">
        <f>H8+H9+H10</f>
        <v>9156</v>
      </c>
      <c r="I22" s="57">
        <v>2468851.88</v>
      </c>
      <c r="J22" s="318">
        <f>J8+J9+J10</f>
        <v>7878</v>
      </c>
      <c r="K22" s="322">
        <v>1806288.78</v>
      </c>
      <c r="L22" s="92">
        <f>L8+L9+L10</f>
        <v>7463</v>
      </c>
      <c r="M22" s="57">
        <v>1887044.45</v>
      </c>
      <c r="N22" s="318">
        <f>N8+N9+N10</f>
        <v>8272</v>
      </c>
      <c r="O22" s="337">
        <v>2292075.98</v>
      </c>
      <c r="P22" s="92">
        <f>P8+P9+P10</f>
        <v>8433</v>
      </c>
      <c r="Q22" s="57">
        <v>2417275.5299999998</v>
      </c>
      <c r="R22" s="318">
        <f>R8+R9+R10</f>
        <v>9634</v>
      </c>
      <c r="S22" s="339">
        <v>2478187.7200000002</v>
      </c>
      <c r="T22" s="92">
        <f>T8+T9+T10</f>
        <v>8752</v>
      </c>
      <c r="U22" s="58">
        <v>2424367.46</v>
      </c>
      <c r="V22" s="318">
        <f>V8+V9+V10</f>
        <v>9035</v>
      </c>
      <c r="W22" s="339">
        <v>2219884.88</v>
      </c>
      <c r="X22" s="92">
        <f>X8+X9+X10</f>
        <v>9211</v>
      </c>
      <c r="Y22" s="58">
        <v>2359793.13</v>
      </c>
      <c r="Z22" s="354">
        <f>SUM(B22,D22,F22,H22,J22,L22,N22,P22,R22,T22,V22,X22)</f>
        <v>103641</v>
      </c>
      <c r="AA22" s="355">
        <f>SUM(C22,E22,G22,I22,K22,M22,O22,Q22,S22,U22,W22,Y22)</f>
        <v>27369883.809999995</v>
      </c>
    </row>
    <row r="23" spans="1:30" x14ac:dyDescent="0.2">
      <c r="A23" s="46" t="s">
        <v>41</v>
      </c>
      <c r="B23" s="225"/>
      <c r="C23" s="323">
        <f>C20/C22</f>
        <v>5.1315814130053698E-2</v>
      </c>
      <c r="E23" s="50">
        <f>E20/E22</f>
        <v>5.6216897690040853E-2</v>
      </c>
      <c r="F23" s="225"/>
      <c r="G23" s="323">
        <f>G20/G22</f>
        <v>5.4077771864129716E-2</v>
      </c>
      <c r="I23" s="50">
        <f>I20/I22</f>
        <v>5.5329884755986249E-2</v>
      </c>
      <c r="J23" s="255"/>
      <c r="K23" s="323">
        <f>K20/K22</f>
        <v>7.0452112313956802E-2</v>
      </c>
      <c r="M23" s="50">
        <f>M20/M22</f>
        <v>7.5812861747904275E-2</v>
      </c>
      <c r="N23" s="225"/>
      <c r="O23" s="323">
        <f>O20/O22</f>
        <v>4.5733767516729501E-2</v>
      </c>
      <c r="Q23" s="50">
        <f>Q20/Q22</f>
        <v>4.0101853842040097E-2</v>
      </c>
      <c r="R23" s="255"/>
      <c r="S23" s="340">
        <f>S20/S22</f>
        <v>4.9625946011870328E-2</v>
      </c>
      <c r="U23" s="70">
        <f>U20/U22</f>
        <v>5.0500430326679911E-2</v>
      </c>
      <c r="V23" s="225"/>
      <c r="W23" s="340">
        <f>W20/W22</f>
        <v>6.055561764085713E-2</v>
      </c>
      <c r="Y23" s="50">
        <f>Y20/Y22</f>
        <v>9.4665107360491385E-2</v>
      </c>
      <c r="Z23" s="272"/>
      <c r="AA23" s="356">
        <f>AA20/AA22</f>
        <v>5.8101967514344377E-2</v>
      </c>
    </row>
    <row r="25" spans="1:30" x14ac:dyDescent="0.2">
      <c r="A25" s="61"/>
    </row>
    <row r="26" spans="1:30" x14ac:dyDescent="0.2">
      <c r="A26" s="437" t="s">
        <v>49</v>
      </c>
      <c r="B26" s="215"/>
      <c r="C26" s="216"/>
      <c r="D26" s="215"/>
      <c r="E26" s="216"/>
      <c r="F26" s="215"/>
      <c r="G26" s="216"/>
      <c r="H26" s="217"/>
      <c r="I26" s="216"/>
    </row>
    <row r="29" spans="1:30" x14ac:dyDescent="0.2">
      <c r="E29" s="51"/>
    </row>
    <row r="30" spans="1:30" x14ac:dyDescent="0.2">
      <c r="AA30" s="38"/>
    </row>
    <row r="32" spans="1:30" x14ac:dyDescent="0.2">
      <c r="U32" s="80"/>
    </row>
  </sheetData>
  <pageMargins left="0.17" right="0.16" top="1" bottom="1" header="0.5" footer="0.5"/>
  <pageSetup paperSize="5" scale="69" orientation="landscape" cellComments="asDisplayed" r:id="rId1"/>
  <headerFooter alignWithMargins="0">
    <oddFooter xml:space="preserve">&amp;L&amp;F&amp;RPrepared by Kathy Adair
&amp;D
&amp;P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opLeftCell="A3" zoomScaleNormal="100" workbookViewId="0">
      <pane xSplit="7" ySplit="18" topLeftCell="H2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" width="33.7109375" customWidth="1"/>
    <col min="2" max="2" width="5.5703125" style="88" bestFit="1" customWidth="1"/>
    <col min="3" max="3" width="11.28515625" bestFit="1" customWidth="1"/>
    <col min="4" max="4" width="5.5703125" style="88" bestFit="1" customWidth="1"/>
    <col min="5" max="5" width="11.28515625" bestFit="1" customWidth="1"/>
    <col min="6" max="6" width="5.5703125" style="88" bestFit="1" customWidth="1"/>
    <col min="7" max="7" width="11.85546875" customWidth="1"/>
    <col min="8" max="8" width="5.5703125" style="96" bestFit="1" customWidth="1"/>
    <col min="9" max="9" width="11.28515625" bestFit="1" customWidth="1"/>
    <col min="10" max="10" width="5.5703125" style="96" bestFit="1" customWidth="1"/>
    <col min="11" max="11" width="11.28515625" bestFit="1" customWidth="1"/>
    <col min="12" max="12" width="5.5703125" style="88" bestFit="1" customWidth="1"/>
    <col min="13" max="13" width="11.28515625" bestFit="1" customWidth="1"/>
    <col min="14" max="14" width="7" style="88" customWidth="1"/>
    <col min="15" max="15" width="11.42578125" style="26" customWidth="1"/>
    <col min="16" max="16" width="5.5703125" style="90" bestFit="1" customWidth="1"/>
    <col min="17" max="17" width="11.28515625" bestFit="1" customWidth="1"/>
    <col min="18" max="18" width="5.5703125" style="96" bestFit="1" customWidth="1"/>
    <col min="19" max="19" width="11.28515625" style="6" bestFit="1" customWidth="1"/>
    <col min="20" max="20" width="7" style="88" customWidth="1"/>
    <col min="21" max="21" width="11.5703125" style="71" customWidth="1"/>
    <col min="22" max="22" width="6.85546875" style="88" customWidth="1"/>
    <col min="23" max="23" width="13.5703125" style="6" customWidth="1"/>
    <col min="24" max="24" width="7.28515625" style="88" customWidth="1"/>
    <col min="25" max="25" width="11.5703125" style="6" customWidth="1"/>
    <col min="26" max="26" width="6.5703125" style="88" bestFit="1" customWidth="1"/>
    <col min="27" max="27" width="13.42578125" style="6" bestFit="1" customWidth="1"/>
  </cols>
  <sheetData>
    <row r="1" spans="1:27" ht="21.75" x14ac:dyDescent="0.3">
      <c r="A1" s="9" t="s">
        <v>13</v>
      </c>
      <c r="B1" s="93"/>
      <c r="C1" s="9"/>
      <c r="D1" s="93"/>
      <c r="E1" s="9"/>
      <c r="F1" s="93"/>
      <c r="G1" s="9"/>
      <c r="H1" s="95"/>
      <c r="I1" s="9"/>
      <c r="J1" s="95"/>
      <c r="K1" s="9"/>
      <c r="L1" s="93"/>
      <c r="M1" s="9"/>
      <c r="N1" s="93"/>
    </row>
    <row r="3" spans="1:27" ht="18" x14ac:dyDescent="0.25">
      <c r="A3" s="152" t="s">
        <v>53</v>
      </c>
    </row>
    <row r="4" spans="1:27" x14ac:dyDescent="0.2">
      <c r="Z4" s="272" t="s">
        <v>29</v>
      </c>
      <c r="AA4" s="273" t="s">
        <v>29</v>
      </c>
    </row>
    <row r="5" spans="1:27" x14ac:dyDescent="0.2">
      <c r="B5" s="22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88" t="s">
        <v>38</v>
      </c>
      <c r="I5" s="6" t="s">
        <v>24</v>
      </c>
      <c r="J5" s="225" t="s">
        <v>38</v>
      </c>
      <c r="K5" s="226" t="s">
        <v>25</v>
      </c>
      <c r="L5" s="88" t="s">
        <v>38</v>
      </c>
      <c r="M5" s="6" t="s">
        <v>20</v>
      </c>
      <c r="N5" s="225" t="s">
        <v>38</v>
      </c>
      <c r="O5" s="331" t="s">
        <v>4</v>
      </c>
      <c r="P5" s="88" t="s">
        <v>38</v>
      </c>
      <c r="Q5" t="s">
        <v>5</v>
      </c>
      <c r="R5" s="225" t="s">
        <v>38</v>
      </c>
      <c r="S5" s="226" t="s">
        <v>6</v>
      </c>
      <c r="T5" s="88" t="s">
        <v>38</v>
      </c>
      <c r="U5" s="72" t="s">
        <v>7</v>
      </c>
      <c r="V5" s="225" t="s">
        <v>38</v>
      </c>
      <c r="W5" s="226" t="s">
        <v>8</v>
      </c>
      <c r="X5" s="88" t="s">
        <v>38</v>
      </c>
      <c r="Y5" s="6" t="s">
        <v>9</v>
      </c>
      <c r="Z5" s="272" t="s">
        <v>38</v>
      </c>
      <c r="AA5" s="274" t="s">
        <v>52</v>
      </c>
    </row>
    <row r="6" spans="1:27" x14ac:dyDescent="0.2">
      <c r="A6" t="s">
        <v>118</v>
      </c>
      <c r="B6" s="225"/>
      <c r="C6" s="226"/>
      <c r="E6" s="6"/>
      <c r="F6" s="225"/>
      <c r="G6" s="226"/>
      <c r="I6" s="6"/>
      <c r="J6" s="255"/>
      <c r="K6" s="226"/>
      <c r="M6" s="6"/>
      <c r="N6" s="225"/>
      <c r="O6" s="331"/>
      <c r="P6" s="105"/>
      <c r="R6" s="255"/>
      <c r="S6" s="226"/>
      <c r="U6" s="72"/>
      <c r="V6" s="336"/>
      <c r="W6" s="226"/>
      <c r="Z6" s="272"/>
      <c r="AA6" s="273"/>
    </row>
    <row r="7" spans="1:27" s="29" customFormat="1" x14ac:dyDescent="0.2">
      <c r="A7" s="27" t="s">
        <v>128</v>
      </c>
      <c r="B7" s="313">
        <v>1599</v>
      </c>
      <c r="C7" s="314">
        <v>104619.66</v>
      </c>
      <c r="D7" s="89">
        <v>1493</v>
      </c>
      <c r="E7" s="28">
        <v>97180.43</v>
      </c>
      <c r="F7" s="247">
        <v>1554</v>
      </c>
      <c r="G7" s="314">
        <v>98563.86</v>
      </c>
      <c r="H7" s="97">
        <v>1701</v>
      </c>
      <c r="I7" s="28">
        <v>118442.91</v>
      </c>
      <c r="J7" s="324">
        <v>1261</v>
      </c>
      <c r="K7" s="314">
        <v>84251.39</v>
      </c>
      <c r="L7" s="89">
        <v>1415</v>
      </c>
      <c r="M7" s="28">
        <v>83995.87</v>
      </c>
      <c r="N7" s="327">
        <v>9</v>
      </c>
      <c r="O7" s="332">
        <v>786</v>
      </c>
      <c r="P7" s="104"/>
      <c r="R7" s="327"/>
      <c r="S7" s="314"/>
      <c r="T7" s="89"/>
      <c r="U7" s="73"/>
      <c r="V7" s="313"/>
      <c r="W7" s="332"/>
      <c r="X7" s="89"/>
      <c r="Y7" s="28"/>
      <c r="Z7" s="344">
        <f t="shared" ref="Z7:AA9" si="0">SUM(B7,D7,F7,H7,J7,L7,N7,P7,R7,T7,V7,X7)</f>
        <v>9032</v>
      </c>
      <c r="AA7" s="345">
        <f t="shared" si="0"/>
        <v>587840.12</v>
      </c>
    </row>
    <row r="8" spans="1:27" s="29" customFormat="1" x14ac:dyDescent="0.2">
      <c r="A8" s="27" t="s">
        <v>119</v>
      </c>
      <c r="B8" s="313"/>
      <c r="C8" s="314"/>
      <c r="D8" s="89"/>
      <c r="E8" s="28"/>
      <c r="F8" s="247"/>
      <c r="G8" s="314"/>
      <c r="H8" s="97"/>
      <c r="I8" s="28"/>
      <c r="J8" s="324"/>
      <c r="K8" s="314"/>
      <c r="L8" s="89"/>
      <c r="M8" s="28"/>
      <c r="N8" s="327">
        <v>1833</v>
      </c>
      <c r="O8" s="262">
        <f>44244.88+644</f>
        <v>44888.88</v>
      </c>
      <c r="P8" s="104">
        <v>1558</v>
      </c>
      <c r="Q8" s="29">
        <v>37468.93</v>
      </c>
      <c r="R8" s="327">
        <v>1930</v>
      </c>
      <c r="S8" s="314">
        <v>45236.43</v>
      </c>
      <c r="T8" s="89">
        <v>1903</v>
      </c>
      <c r="U8" s="73">
        <v>42987.45</v>
      </c>
      <c r="V8" s="313">
        <v>1916</v>
      </c>
      <c r="W8" s="332">
        <v>44216.74</v>
      </c>
      <c r="X8" s="89">
        <v>2091</v>
      </c>
      <c r="Y8" s="28">
        <v>57088.22</v>
      </c>
      <c r="Z8" s="344">
        <f t="shared" si="0"/>
        <v>11231</v>
      </c>
      <c r="AA8" s="345">
        <f t="shared" si="0"/>
        <v>271886.65000000002</v>
      </c>
    </row>
    <row r="9" spans="1:27" x14ac:dyDescent="0.2">
      <c r="A9" t="s">
        <v>120</v>
      </c>
      <c r="B9" s="225">
        <v>5112</v>
      </c>
      <c r="C9" s="262">
        <v>208853</v>
      </c>
      <c r="D9" s="90">
        <v>5194</v>
      </c>
      <c r="E9" s="30">
        <v>172732</v>
      </c>
      <c r="F9" s="247">
        <v>4640</v>
      </c>
      <c r="G9" s="262">
        <v>165198.01</v>
      </c>
      <c r="H9" s="98">
        <v>4771</v>
      </c>
      <c r="I9" s="30">
        <v>161497</v>
      </c>
      <c r="J9" s="328">
        <v>3635</v>
      </c>
      <c r="K9" s="262">
        <v>116304</v>
      </c>
      <c r="L9" s="90">
        <v>3854</v>
      </c>
      <c r="M9" s="30">
        <v>124964</v>
      </c>
      <c r="N9" s="247">
        <v>4311</v>
      </c>
      <c r="O9" s="331">
        <v>93694</v>
      </c>
      <c r="P9" s="105">
        <v>3965</v>
      </c>
      <c r="Q9" s="26">
        <v>81716</v>
      </c>
      <c r="R9" s="247">
        <v>4869</v>
      </c>
      <c r="S9" s="262">
        <v>105424</v>
      </c>
      <c r="T9" s="90">
        <v>5064</v>
      </c>
      <c r="U9" s="154">
        <v>158651.99</v>
      </c>
      <c r="V9" s="336">
        <v>5264</v>
      </c>
      <c r="W9" s="331">
        <v>157919</v>
      </c>
      <c r="X9" s="90">
        <v>4936</v>
      </c>
      <c r="Y9" s="30">
        <v>159572.79999999999</v>
      </c>
      <c r="Z9" s="351">
        <f t="shared" si="0"/>
        <v>55615</v>
      </c>
      <c r="AA9" s="345">
        <f t="shared" si="0"/>
        <v>1706525.8</v>
      </c>
    </row>
    <row r="10" spans="1:27" x14ac:dyDescent="0.2">
      <c r="A10" t="s">
        <v>32</v>
      </c>
      <c r="B10" s="318">
        <v>1213</v>
      </c>
      <c r="C10" s="316">
        <v>49789</v>
      </c>
      <c r="D10" s="91">
        <f>239+4+19+9+838+213</f>
        <v>1322</v>
      </c>
      <c r="E10" s="31">
        <f>4384+1162.2+41219.81</f>
        <v>46766.009999999995</v>
      </c>
      <c r="F10" s="335">
        <f>453+7+283+7+688+172</f>
        <v>1610</v>
      </c>
      <c r="G10" s="316">
        <f>17578.84+2220.96+33173.51</f>
        <v>52973.31</v>
      </c>
      <c r="H10" s="99">
        <f>554+5+290+14+735+173</f>
        <v>1771</v>
      </c>
      <c r="I10" s="31">
        <f>21873+2731.36+32961.98</f>
        <v>57566.340000000004</v>
      </c>
      <c r="J10" s="326">
        <f>377+3+422+15+721+166</f>
        <v>1704</v>
      </c>
      <c r="K10" s="316">
        <f>14919+168.4+30456.69</f>
        <v>45544.09</v>
      </c>
      <c r="L10" s="91">
        <f>393+4+366+22+834+161</f>
        <v>1780</v>
      </c>
      <c r="M10" s="31">
        <f>14717+1339.21+34550.79</f>
        <v>50607</v>
      </c>
      <c r="N10" s="335">
        <f>319+436+13+743+157</f>
        <v>1668</v>
      </c>
      <c r="O10" s="334">
        <f>18068+34593.24</f>
        <v>52661.24</v>
      </c>
      <c r="P10" s="91">
        <f>394+350+16+581+1+186</f>
        <v>1528</v>
      </c>
      <c r="Q10" s="33">
        <f>33171.96+29938.29</f>
        <v>63110.25</v>
      </c>
      <c r="R10" s="335">
        <f>299+316+25+675+207</f>
        <v>1522</v>
      </c>
      <c r="S10" s="316">
        <f>16864.58+44212.26</f>
        <v>61076.840000000004</v>
      </c>
      <c r="T10" s="91">
        <v>1458</v>
      </c>
      <c r="U10" s="155">
        <v>52771.4</v>
      </c>
      <c r="V10" s="342">
        <v>1329</v>
      </c>
      <c r="W10" s="316">
        <v>46914.5</v>
      </c>
      <c r="X10" s="91">
        <v>1242</v>
      </c>
      <c r="Y10" s="32">
        <v>39486.65</v>
      </c>
      <c r="Z10" s="350">
        <f>SUM(B10,D10,F10,H10,J10,L10,N10,Q10,R10,T10,V10,X10)</f>
        <v>79729.25</v>
      </c>
      <c r="AA10" s="347">
        <f>SUM(C10,E10,G10,I10,K10,M10,O10,Q10,S10,U10,W10,Y10)</f>
        <v>619266.63</v>
      </c>
    </row>
    <row r="11" spans="1:27" x14ac:dyDescent="0.2">
      <c r="A11" t="s">
        <v>125</v>
      </c>
      <c r="B11" s="225"/>
      <c r="C11" s="319">
        <f>SUM(C7:C10)</f>
        <v>363261.66000000003</v>
      </c>
      <c r="D11" s="89"/>
      <c r="E11" s="29">
        <f>SUM(E7:E10)</f>
        <v>316678.44</v>
      </c>
      <c r="F11" s="327"/>
      <c r="G11" s="319">
        <f>SUM(G7:G10)</f>
        <v>316735.18</v>
      </c>
      <c r="H11" s="97"/>
      <c r="I11" s="29">
        <f>SUM(I7:I10)</f>
        <v>337506.25000000006</v>
      </c>
      <c r="J11" s="324"/>
      <c r="K11" s="319">
        <f>SUM(K7:K10)</f>
        <v>246099.48</v>
      </c>
      <c r="L11" s="89"/>
      <c r="M11" s="29">
        <f>SUM(M7:M10)</f>
        <v>259566.87</v>
      </c>
      <c r="N11" s="327"/>
      <c r="O11" s="319">
        <f>SUM(O7:O10)</f>
        <v>192030.12</v>
      </c>
      <c r="P11" s="89"/>
      <c r="Q11" s="29">
        <f>SUM(Q7:Q10)</f>
        <v>182295.18</v>
      </c>
      <c r="R11" s="324"/>
      <c r="S11" s="319">
        <f>SUM(S7:S10)</f>
        <v>211737.27</v>
      </c>
      <c r="T11" s="89"/>
      <c r="U11" s="75">
        <f>SUM(U7:U10)</f>
        <v>254410.84</v>
      </c>
      <c r="V11" s="327"/>
      <c r="W11" s="319">
        <f>SUM(W7:W10)</f>
        <v>249050.23999999999</v>
      </c>
      <c r="X11" s="89"/>
      <c r="Y11" s="29">
        <f>SUM(Y7:Y10)</f>
        <v>256147.66999999998</v>
      </c>
      <c r="Z11" s="344"/>
      <c r="AA11" s="349">
        <f>SUM(C11,E11,G11,I11,K11,M11,O11,Q11,S11,U11,W11,Y11)</f>
        <v>3185519.2</v>
      </c>
    </row>
    <row r="12" spans="1:27" x14ac:dyDescent="0.2">
      <c r="A12" t="s">
        <v>127</v>
      </c>
      <c r="B12" s="318"/>
      <c r="C12" s="320">
        <v>33333.339999999997</v>
      </c>
      <c r="D12" s="91"/>
      <c r="E12" s="33">
        <v>33333.33</v>
      </c>
      <c r="F12" s="335"/>
      <c r="G12" s="320">
        <v>33333.33</v>
      </c>
      <c r="H12" s="99"/>
      <c r="I12" s="33">
        <v>33333.339999999997</v>
      </c>
      <c r="J12" s="326"/>
      <c r="K12" s="320">
        <v>33333.33</v>
      </c>
      <c r="L12" s="91"/>
      <c r="M12" s="33">
        <v>33333.33</v>
      </c>
      <c r="N12" s="335"/>
      <c r="O12" s="320">
        <v>33333.339999999997</v>
      </c>
      <c r="P12" s="91"/>
      <c r="Q12" s="33">
        <v>33333.33</v>
      </c>
      <c r="R12" s="326"/>
      <c r="S12" s="320">
        <v>33333.33</v>
      </c>
      <c r="T12" s="91"/>
      <c r="U12" s="76">
        <v>33333.339999999997</v>
      </c>
      <c r="V12" s="335"/>
      <c r="W12" s="316">
        <v>33333.33</v>
      </c>
      <c r="X12" s="91"/>
      <c r="Y12" s="31">
        <v>33333.33</v>
      </c>
      <c r="Z12" s="350"/>
      <c r="AA12" s="347">
        <f>SUM(C12,E12,G12,I12,K12,M12,O12,Q12,S12,U12,W12,Y12)</f>
        <v>400000</v>
      </c>
    </row>
    <row r="13" spans="1:27" x14ac:dyDescent="0.2">
      <c r="A13" t="s">
        <v>124</v>
      </c>
      <c r="B13" s="225"/>
      <c r="C13" s="248">
        <f>SUM(C11:C12)</f>
        <v>396595</v>
      </c>
      <c r="D13" s="90"/>
      <c r="E13" s="26">
        <f>SUM(E11:E12)</f>
        <v>350011.77</v>
      </c>
      <c r="F13" s="247"/>
      <c r="G13" s="248">
        <f>SUM(G11:G12)</f>
        <v>350068.51</v>
      </c>
      <c r="H13" s="98"/>
      <c r="I13" s="26">
        <f>SUM(I11:I12)</f>
        <v>370839.59000000008</v>
      </c>
      <c r="J13" s="328"/>
      <c r="K13" s="248">
        <f>SUM(K11:K12)</f>
        <v>279432.81</v>
      </c>
      <c r="L13" s="90"/>
      <c r="M13" s="26">
        <f>SUM(M11:M12)</f>
        <v>292900.2</v>
      </c>
      <c r="N13" s="247"/>
      <c r="O13" s="248">
        <f>SUM(O11:O12)</f>
        <v>225363.46</v>
      </c>
      <c r="Q13" s="26">
        <f>SUM(Q11:Q12)</f>
        <v>215628.51</v>
      </c>
      <c r="R13" s="328"/>
      <c r="S13" s="248">
        <f>SUM(S11:S12)</f>
        <v>245070.59999999998</v>
      </c>
      <c r="T13" s="90"/>
      <c r="U13" s="77">
        <f>SUM(U11:U12)</f>
        <v>287744.18</v>
      </c>
      <c r="V13" s="247"/>
      <c r="W13" s="262">
        <f>SUM(W11:W12)</f>
        <v>282383.57</v>
      </c>
      <c r="X13" s="90"/>
      <c r="Y13" s="30">
        <f>SUM(Y11:Y12)</f>
        <v>289481</v>
      </c>
      <c r="Z13" s="351"/>
      <c r="AA13" s="345">
        <f>SUM(C13,E13,G13,I13,K13,M13,O13,Q13,S13,U13,W13,Y13)</f>
        <v>3585519.2000000007</v>
      </c>
    </row>
    <row r="14" spans="1:27" x14ac:dyDescent="0.2">
      <c r="B14" s="225"/>
      <c r="C14" s="248"/>
      <c r="D14" s="90"/>
      <c r="E14" s="26"/>
      <c r="F14" s="247"/>
      <c r="G14" s="248"/>
      <c r="H14" s="98"/>
      <c r="J14" s="255"/>
      <c r="K14" s="227"/>
      <c r="N14" s="225"/>
      <c r="O14" s="248"/>
      <c r="R14" s="255"/>
      <c r="S14" s="226"/>
      <c r="U14" s="77"/>
      <c r="V14" s="247"/>
      <c r="W14" s="262"/>
      <c r="X14" s="90"/>
      <c r="Z14" s="272"/>
      <c r="AA14" s="273"/>
    </row>
    <row r="15" spans="1:27" x14ac:dyDescent="0.2">
      <c r="A15" t="s">
        <v>122</v>
      </c>
      <c r="B15" s="225"/>
      <c r="C15" s="227"/>
      <c r="D15" s="90"/>
      <c r="E15" s="26"/>
      <c r="F15" s="247"/>
      <c r="G15" s="248"/>
      <c r="H15" s="98"/>
      <c r="J15" s="255"/>
      <c r="K15" s="227"/>
      <c r="N15" s="225"/>
      <c r="O15" s="248"/>
      <c r="R15" s="255"/>
      <c r="S15" s="226"/>
      <c r="U15" s="77"/>
      <c r="V15" s="247"/>
      <c r="W15" s="262"/>
      <c r="X15" s="90"/>
      <c r="Z15" s="272"/>
      <c r="AA15" s="273"/>
    </row>
    <row r="16" spans="1:27" x14ac:dyDescent="0.2">
      <c r="A16" s="4" t="s">
        <v>57</v>
      </c>
      <c r="B16" s="225"/>
      <c r="C16" s="248">
        <v>135721.98000000001</v>
      </c>
      <c r="D16" s="90"/>
      <c r="E16" s="34">
        <v>146969.46</v>
      </c>
      <c r="F16" s="247"/>
      <c r="G16" s="329">
        <v>137298.06</v>
      </c>
      <c r="H16" s="98"/>
      <c r="I16" s="34">
        <v>141559.25</v>
      </c>
      <c r="J16" s="328"/>
      <c r="K16" s="329">
        <v>119101.5</v>
      </c>
      <c r="L16" s="90"/>
      <c r="M16" s="66">
        <v>124725.24</v>
      </c>
      <c r="N16" s="225"/>
      <c r="O16" s="248">
        <v>137387.60999999999</v>
      </c>
      <c r="Q16" s="26">
        <v>147861.6</v>
      </c>
      <c r="R16" s="328"/>
      <c r="S16" s="262">
        <v>153470.79</v>
      </c>
      <c r="T16" s="90"/>
      <c r="U16" s="78">
        <v>150748.47</v>
      </c>
      <c r="V16" s="247"/>
      <c r="W16" s="262">
        <v>150103.71</v>
      </c>
      <c r="X16" s="90"/>
      <c r="Y16" s="156">
        <v>140933.79</v>
      </c>
      <c r="Z16" s="272"/>
      <c r="AA16" s="352">
        <f>SUM(C16:Y16)</f>
        <v>1685881.46</v>
      </c>
    </row>
    <row r="17" spans="1:30" x14ac:dyDescent="0.2">
      <c r="A17" s="4" t="s">
        <v>34</v>
      </c>
      <c r="B17" s="318"/>
      <c r="C17" s="321">
        <v>15156</v>
      </c>
      <c r="D17" s="91"/>
      <c r="E17" s="35">
        <v>16412</v>
      </c>
      <c r="F17" s="335"/>
      <c r="G17" s="321">
        <v>15332</v>
      </c>
      <c r="H17" s="99"/>
      <c r="I17" s="35">
        <v>16016.57</v>
      </c>
      <c r="J17" s="326"/>
      <c r="K17" s="321">
        <v>17172.89</v>
      </c>
      <c r="L17" s="91"/>
      <c r="M17" s="67">
        <v>18177.259999999998</v>
      </c>
      <c r="N17" s="318"/>
      <c r="O17" s="320">
        <v>20285.310000000001</v>
      </c>
      <c r="P17" s="91"/>
      <c r="Q17" s="33">
        <v>22312.5</v>
      </c>
      <c r="R17" s="326"/>
      <c r="S17" s="316">
        <v>27503.49</v>
      </c>
      <c r="T17" s="91"/>
      <c r="U17" s="79">
        <v>26964.81</v>
      </c>
      <c r="V17" s="335"/>
      <c r="W17" s="316">
        <v>25270.89</v>
      </c>
      <c r="X17" s="91"/>
      <c r="Y17" s="35">
        <v>23628.12</v>
      </c>
      <c r="Z17" s="350"/>
      <c r="AA17" s="347">
        <f>SUM(C17:Y17)</f>
        <v>244231.83999999997</v>
      </c>
    </row>
    <row r="18" spans="1:30" x14ac:dyDescent="0.2">
      <c r="A18" t="s">
        <v>63</v>
      </c>
      <c r="B18" s="225">
        <v>7578</v>
      </c>
      <c r="C18" s="248">
        <f>SUM(C16:C17)</f>
        <v>150877.98000000001</v>
      </c>
      <c r="D18" s="90">
        <v>8206</v>
      </c>
      <c r="E18" s="26">
        <f>SUM(E16:E17)</f>
        <v>163381.46</v>
      </c>
      <c r="F18" s="247">
        <v>7666</v>
      </c>
      <c r="G18" s="248">
        <f>SUM(G16:G17)</f>
        <v>152630.06</v>
      </c>
      <c r="H18" s="98">
        <v>7914</v>
      </c>
      <c r="I18" s="26">
        <f>SUM(I16:I17)</f>
        <v>157575.82</v>
      </c>
      <c r="J18" s="328">
        <v>6651</v>
      </c>
      <c r="K18" s="248">
        <f>SUM(K16:K17)</f>
        <v>136274.39000000001</v>
      </c>
      <c r="L18" s="90">
        <v>6974</v>
      </c>
      <c r="M18" s="26">
        <f>SUM(M16:M17)</f>
        <v>142902.5</v>
      </c>
      <c r="N18" s="247">
        <v>7673</v>
      </c>
      <c r="O18" s="248">
        <f>SUM(O16:O17)</f>
        <v>157672.91999999998</v>
      </c>
      <c r="P18" s="90">
        <v>7016</v>
      </c>
      <c r="Q18" s="26">
        <f>SUM(Q16:Q17)</f>
        <v>170174.1</v>
      </c>
      <c r="R18" s="247">
        <v>8572</v>
      </c>
      <c r="S18" s="248">
        <f>SUM(S16:S17)</f>
        <v>180974.28</v>
      </c>
      <c r="T18" s="90">
        <v>8419</v>
      </c>
      <c r="U18" s="80">
        <f>U16+U17</f>
        <v>177713.28</v>
      </c>
      <c r="V18" s="247">
        <v>8397</v>
      </c>
      <c r="W18" s="343">
        <f>W16+W17</f>
        <v>175374.59999999998</v>
      </c>
      <c r="X18" s="90">
        <v>7876</v>
      </c>
      <c r="Y18" s="34">
        <f>SUM(Y16:Y17)</f>
        <v>164561.91</v>
      </c>
      <c r="Z18" s="353">
        <f>SUM(B18,D18,F18,H18,J18,L18,N18,P18,R18,T18,V18,X18)</f>
        <v>92942</v>
      </c>
      <c r="AA18" s="345">
        <f>SUM(C18,E18,G18,I18,K18,M18,O18,Q18,S18,U18,W18,Y18)</f>
        <v>1930113.3</v>
      </c>
    </row>
    <row r="19" spans="1:30" x14ac:dyDescent="0.2">
      <c r="B19" s="225"/>
      <c r="C19" s="248"/>
      <c r="D19" s="90"/>
      <c r="E19" s="26"/>
      <c r="F19" s="90"/>
      <c r="G19" s="26"/>
      <c r="H19" s="98"/>
      <c r="I19" s="26"/>
      <c r="J19" s="328"/>
      <c r="K19" s="248"/>
      <c r="L19" s="90"/>
      <c r="M19" s="26"/>
      <c r="N19" s="247"/>
      <c r="O19" s="248"/>
      <c r="R19" s="255"/>
      <c r="S19" s="226"/>
      <c r="U19" s="77"/>
      <c r="V19" s="247"/>
      <c r="W19" s="262"/>
      <c r="X19" s="90"/>
      <c r="Z19" s="272"/>
      <c r="AA19" s="273"/>
    </row>
    <row r="20" spans="1:30" s="8" customFormat="1" ht="13.5" thickBot="1" x14ac:dyDescent="0.25">
      <c r="A20" s="361" t="s">
        <v>3</v>
      </c>
      <c r="B20" s="158"/>
      <c r="C20" s="159">
        <f>C13-C18</f>
        <v>245717.02</v>
      </c>
      <c r="D20" s="160"/>
      <c r="E20" s="159">
        <f>E13-E18</f>
        <v>186630.31000000003</v>
      </c>
      <c r="F20" s="160"/>
      <c r="G20" s="159">
        <f>G13-G18</f>
        <v>197438.45</v>
      </c>
      <c r="H20" s="161"/>
      <c r="I20" s="159">
        <f>I13-I18</f>
        <v>213263.77000000008</v>
      </c>
      <c r="J20" s="161"/>
      <c r="K20" s="159">
        <f>K13-K18</f>
        <v>143158.41999999998</v>
      </c>
      <c r="L20" s="160"/>
      <c r="M20" s="159">
        <f>M13-M18</f>
        <v>149997.70000000001</v>
      </c>
      <c r="N20" s="160"/>
      <c r="O20" s="159">
        <f>O13-O18</f>
        <v>67690.540000000008</v>
      </c>
      <c r="P20" s="160"/>
      <c r="Q20" s="159">
        <f>Q13-Q18</f>
        <v>45454.41</v>
      </c>
      <c r="R20" s="161"/>
      <c r="S20" s="159">
        <f>S13-S18</f>
        <v>64096.319999999978</v>
      </c>
      <c r="T20" s="160"/>
      <c r="U20" s="162">
        <f>U13-U18</f>
        <v>110030.9</v>
      </c>
      <c r="V20" s="160"/>
      <c r="W20" s="159">
        <f>W13-W18</f>
        <v>107008.97000000003</v>
      </c>
      <c r="X20" s="160"/>
      <c r="Y20" s="159">
        <f>Y13-Y18</f>
        <v>124919.09</v>
      </c>
      <c r="Z20" s="160"/>
      <c r="AA20" s="163">
        <f>SUM(AA13-AA18)</f>
        <v>1655405.9000000006</v>
      </c>
      <c r="AB20" s="60"/>
      <c r="AC20" s="60"/>
      <c r="AD20" s="60"/>
    </row>
    <row r="21" spans="1:30" x14ac:dyDescent="0.2">
      <c r="B21" s="225"/>
      <c r="C21" s="227"/>
      <c r="F21" s="225"/>
      <c r="G21" s="227"/>
      <c r="J21" s="255"/>
      <c r="K21" s="227"/>
      <c r="N21" s="225"/>
      <c r="O21" s="248"/>
      <c r="R21" s="255"/>
      <c r="S21" s="226"/>
      <c r="V21" s="225"/>
      <c r="W21" s="226"/>
      <c r="Z21" s="272"/>
      <c r="AA21" s="273"/>
    </row>
    <row r="22" spans="1:30" x14ac:dyDescent="0.2">
      <c r="B22" s="225"/>
      <c r="C22" s="227"/>
      <c r="F22" s="225"/>
      <c r="G22" s="227"/>
      <c r="J22" s="255"/>
      <c r="K22" s="227"/>
      <c r="N22" s="225"/>
      <c r="O22" s="248"/>
      <c r="R22" s="255"/>
      <c r="S22" s="226"/>
      <c r="V22" s="225"/>
      <c r="W22" s="226"/>
      <c r="Z22" s="272"/>
      <c r="AA22" s="273"/>
    </row>
    <row r="23" spans="1:30" x14ac:dyDescent="0.2">
      <c r="A23" s="45" t="s">
        <v>39</v>
      </c>
      <c r="B23" s="225"/>
      <c r="C23" s="227"/>
      <c r="F23" s="225"/>
      <c r="G23" s="227"/>
      <c r="J23" s="255"/>
      <c r="K23" s="227"/>
      <c r="N23" s="225"/>
      <c r="O23" s="248"/>
      <c r="R23" s="255"/>
      <c r="S23" s="226"/>
      <c r="V23" s="225"/>
      <c r="W23" s="226"/>
      <c r="Z23" s="272"/>
      <c r="AA23" s="273"/>
    </row>
    <row r="24" spans="1:30" x14ac:dyDescent="0.2">
      <c r="A24" s="46" t="s">
        <v>40</v>
      </c>
      <c r="B24" s="318">
        <v>70</v>
      </c>
      <c r="C24" s="358"/>
      <c r="D24" s="92">
        <v>110</v>
      </c>
      <c r="E24" s="49"/>
      <c r="F24" s="318">
        <v>57</v>
      </c>
      <c r="G24" s="358"/>
      <c r="H24" s="92">
        <v>55</v>
      </c>
      <c r="I24" s="49"/>
      <c r="J24" s="365">
        <v>41</v>
      </c>
      <c r="K24" s="358"/>
      <c r="L24" s="92">
        <v>93</v>
      </c>
      <c r="M24" s="49"/>
      <c r="N24" s="318"/>
      <c r="O24" s="320"/>
      <c r="P24" s="91"/>
      <c r="Q24" s="49"/>
      <c r="R24" s="318"/>
      <c r="S24" s="367"/>
      <c r="T24" s="92"/>
      <c r="U24" s="58"/>
      <c r="V24" s="318"/>
      <c r="W24" s="367"/>
      <c r="X24" s="92"/>
      <c r="Y24" s="48"/>
      <c r="Z24" s="354">
        <f>SUM(B24,D24,F24,H24,J24,L24,N24,P24,R24,T24,V24,X24)</f>
        <v>426</v>
      </c>
      <c r="AA24" s="362"/>
    </row>
    <row r="25" spans="1:30" x14ac:dyDescent="0.2">
      <c r="A25" s="46" t="s">
        <v>51</v>
      </c>
      <c r="B25" s="359">
        <f>B24/B7</f>
        <v>4.3777360850531584E-2</v>
      </c>
      <c r="C25" s="227"/>
      <c r="D25" s="139">
        <f>D24/D7</f>
        <v>7.3677160080375087E-2</v>
      </c>
      <c r="F25" s="359">
        <f>F24/F7</f>
        <v>3.6679536679536683E-2</v>
      </c>
      <c r="G25" s="227"/>
      <c r="H25" s="139">
        <f>H24/H7</f>
        <v>3.2333921222810112E-2</v>
      </c>
      <c r="J25" s="359">
        <f>J24/J7</f>
        <v>3.2513877874702619E-2</v>
      </c>
      <c r="K25" s="227"/>
      <c r="L25" s="139">
        <f>L24/L7</f>
        <v>6.5724381625441697E-2</v>
      </c>
      <c r="N25" s="359"/>
      <c r="O25" s="227"/>
      <c r="P25" s="139"/>
      <c r="R25" s="359"/>
      <c r="S25" s="227"/>
      <c r="T25" s="139"/>
      <c r="U25"/>
      <c r="V25" s="359"/>
      <c r="W25" s="227"/>
      <c r="X25" s="139"/>
      <c r="Y25"/>
      <c r="Z25" s="363">
        <f>Z24/Z7</f>
        <v>4.7165633303808678E-2</v>
      </c>
      <c r="AA25" s="364"/>
    </row>
    <row r="26" spans="1:30" x14ac:dyDescent="0.2">
      <c r="B26" s="225"/>
      <c r="C26" s="227"/>
      <c r="F26" s="225"/>
      <c r="G26" s="227"/>
      <c r="H26" s="88"/>
      <c r="J26" s="225"/>
      <c r="K26" s="227"/>
      <c r="N26" s="225"/>
      <c r="O26" s="248"/>
      <c r="P26" s="88"/>
      <c r="R26" s="225"/>
      <c r="S26" s="226"/>
      <c r="V26" s="225"/>
      <c r="W26" s="226"/>
      <c r="Z26" s="272"/>
      <c r="AA26" s="273"/>
    </row>
    <row r="27" spans="1:30" x14ac:dyDescent="0.2">
      <c r="A27" t="s">
        <v>37</v>
      </c>
      <c r="B27" s="318">
        <f>SUM(B7,B9,B10,B24)</f>
        <v>7994</v>
      </c>
      <c r="C27" s="322">
        <v>2190528.48</v>
      </c>
      <c r="D27" s="92">
        <f>SUM(D7,D9,D10,D24)</f>
        <v>8119</v>
      </c>
      <c r="E27" s="57">
        <v>2097482.44</v>
      </c>
      <c r="F27" s="318">
        <f>SUM(F7,F9,F10,F24)</f>
        <v>7861</v>
      </c>
      <c r="G27" s="322">
        <v>2063874.27</v>
      </c>
      <c r="H27" s="92">
        <f>SUM(H7,H9,H10,H24)</f>
        <v>8298</v>
      </c>
      <c r="I27" s="57">
        <v>2112983.2599999998</v>
      </c>
      <c r="J27" s="318">
        <f>SUM(J7,J9,J10,J24)</f>
        <v>6641</v>
      </c>
      <c r="K27" s="322">
        <v>1622903.81</v>
      </c>
      <c r="L27" s="92">
        <f>SUM(L7,L9,L10,L24)</f>
        <v>7142</v>
      </c>
      <c r="M27" s="57">
        <v>1893325.22</v>
      </c>
      <c r="N27" s="318">
        <f>SUM(N7,N8,N9,N10,N24)</f>
        <v>7821</v>
      </c>
      <c r="O27" s="366">
        <v>2147571.52</v>
      </c>
      <c r="P27" s="92">
        <f>SUM(P7,P8,P9,P10,P24)</f>
        <v>7051</v>
      </c>
      <c r="Q27" s="57">
        <v>1875763.63</v>
      </c>
      <c r="R27" s="318">
        <f>SUM(R7,R8,R9,R10,R24)</f>
        <v>8321</v>
      </c>
      <c r="S27" s="339">
        <v>2035072.69</v>
      </c>
      <c r="T27" s="92">
        <f>SUM(T7,T8,T9,T10,T24)</f>
        <v>8425</v>
      </c>
      <c r="U27" s="58">
        <v>2135283.08</v>
      </c>
      <c r="V27" s="318">
        <f>SUM(V7,V8,V9,V10,V24)</f>
        <v>8509</v>
      </c>
      <c r="W27" s="368">
        <v>2238101.0299999998</v>
      </c>
      <c r="X27" s="92">
        <f>SUM(X7,X8,X9,X10,X24)</f>
        <v>8269</v>
      </c>
      <c r="Y27" s="48">
        <v>2078025.58</v>
      </c>
      <c r="Z27" s="354">
        <f>SUM(B27,D27,F27,H27,J27,L27,N27,P27,R27,T27,V27,X27)</f>
        <v>94451</v>
      </c>
      <c r="AA27" s="355">
        <f>SUM(C27,E27,G27,I27,K27,M27,O27,Q27,S27,U27,W27,Y27)</f>
        <v>24490915.009999998</v>
      </c>
    </row>
    <row r="28" spans="1:30" x14ac:dyDescent="0.2">
      <c r="A28" s="46" t="s">
        <v>41</v>
      </c>
      <c r="B28" s="225"/>
      <c r="C28" s="323">
        <f>C20/C27</f>
        <v>0.11217248360085233</v>
      </c>
      <c r="E28" s="50">
        <f>E20/E27</f>
        <v>8.8978246702270378E-2</v>
      </c>
      <c r="F28" s="225"/>
      <c r="G28" s="323">
        <f>G20/G27</f>
        <v>9.5663991198456103E-2</v>
      </c>
      <c r="I28" s="50">
        <f>I20/I27</f>
        <v>0.10093017490351537</v>
      </c>
      <c r="J28" s="255"/>
      <c r="K28" s="323">
        <f>K20/K27</f>
        <v>8.8211278523032108E-2</v>
      </c>
      <c r="M28" s="50">
        <f>M20/M27</f>
        <v>7.9224476817564393E-2</v>
      </c>
      <c r="N28" s="225"/>
      <c r="O28" s="323">
        <f>O20/O27</f>
        <v>3.1519574258462885E-2</v>
      </c>
      <c r="Q28" s="50">
        <f>Q20/Q27</f>
        <v>2.4232482852863505E-2</v>
      </c>
      <c r="R28" s="255"/>
      <c r="S28" s="340">
        <f>S20/S27</f>
        <v>3.149583811672102E-2</v>
      </c>
      <c r="U28" s="70">
        <f>U20/U27</f>
        <v>5.1529888955051333E-2</v>
      </c>
      <c r="V28" s="225"/>
      <c r="W28" s="340">
        <f>W20/W27</f>
        <v>4.7812394778264343E-2</v>
      </c>
      <c r="Y28" s="50">
        <f>Y20/Y27</f>
        <v>6.0114317745790208E-2</v>
      </c>
      <c r="Z28" s="272"/>
      <c r="AA28" s="356">
        <f>AA20/AA27</f>
        <v>6.7592652186497487E-2</v>
      </c>
    </row>
    <row r="29" spans="1:30" x14ac:dyDescent="0.2">
      <c r="B29" s="225"/>
      <c r="C29" s="227"/>
    </row>
    <row r="30" spans="1:30" x14ac:dyDescent="0.2">
      <c r="A30" s="61"/>
    </row>
    <row r="31" spans="1:30" s="216" customFormat="1" x14ac:dyDescent="0.2">
      <c r="A31" s="437" t="s">
        <v>49</v>
      </c>
      <c r="B31" s="215"/>
      <c r="D31" s="215"/>
      <c r="F31" s="215"/>
      <c r="H31" s="217"/>
      <c r="J31" s="217"/>
      <c r="L31" s="215"/>
      <c r="N31" s="215"/>
      <c r="O31" s="438"/>
      <c r="P31" s="439"/>
      <c r="R31" s="217"/>
      <c r="S31" s="440"/>
      <c r="T31" s="215"/>
      <c r="U31" s="441"/>
      <c r="V31" s="215"/>
      <c r="W31" s="440"/>
      <c r="X31" s="215"/>
      <c r="Y31" s="440"/>
      <c r="Z31" s="215"/>
      <c r="AA31" s="440"/>
    </row>
    <row r="34" spans="5:27" x14ac:dyDescent="0.2">
      <c r="E34" s="51"/>
    </row>
    <row r="35" spans="5:27" x14ac:dyDescent="0.2">
      <c r="AA35" s="38"/>
    </row>
    <row r="37" spans="5:27" x14ac:dyDescent="0.2">
      <c r="U37" s="80"/>
    </row>
  </sheetData>
  <phoneticPr fontId="0" type="noConversion"/>
  <pageMargins left="0.17" right="0.16" top="1" bottom="1" header="0.5" footer="0.5"/>
  <pageSetup scale="52" orientation="landscape" r:id="rId1"/>
  <headerFooter alignWithMargins="0">
    <oddFooter xml:space="preserve">&amp;L&amp;F&amp;CFY09 Calculated Savings
Medicaid&amp;RPrepared by Sunny Israelson
&amp;D
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opLeftCell="A3" zoomScaleNormal="100" workbookViewId="0">
      <pane xSplit="7" ySplit="18" topLeftCell="H2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" width="33.7109375" customWidth="1"/>
    <col min="2" max="2" width="6.7109375" style="88" bestFit="1" customWidth="1"/>
    <col min="3" max="3" width="11" customWidth="1"/>
    <col min="4" max="4" width="5.5703125" style="88" bestFit="1" customWidth="1"/>
    <col min="5" max="5" width="11.28515625" bestFit="1" customWidth="1"/>
    <col min="6" max="6" width="5.5703125" style="88" bestFit="1" customWidth="1"/>
    <col min="7" max="7" width="12" bestFit="1" customWidth="1"/>
    <col min="8" max="8" width="5.5703125" style="96" bestFit="1" customWidth="1"/>
    <col min="9" max="9" width="11.28515625" bestFit="1" customWidth="1"/>
    <col min="10" max="10" width="5.5703125" style="96" bestFit="1" customWidth="1"/>
    <col min="11" max="11" width="11.28515625" bestFit="1" customWidth="1"/>
    <col min="12" max="12" width="5.5703125" style="88" bestFit="1" customWidth="1"/>
    <col min="13" max="13" width="11.28515625" bestFit="1" customWidth="1"/>
    <col min="14" max="14" width="6" style="52" bestFit="1" customWidth="1"/>
    <col min="15" max="15" width="12" style="26" bestFit="1" customWidth="1"/>
    <col min="16" max="16" width="6.7109375" style="54" bestFit="1" customWidth="1"/>
    <col min="17" max="17" width="11.5703125" customWidth="1"/>
    <col min="18" max="18" width="6.7109375" style="148" customWidth="1"/>
    <col min="19" max="19" width="12.140625" style="6" customWidth="1"/>
    <col min="20" max="20" width="6.7109375" style="147" bestFit="1" customWidth="1"/>
    <col min="21" max="21" width="11.5703125" style="71" customWidth="1"/>
    <col min="22" max="22" width="6.7109375" style="147" bestFit="1" customWidth="1"/>
    <col min="23" max="23" width="13.5703125" style="6" customWidth="1"/>
    <col min="24" max="24" width="7.140625" style="81" customWidth="1"/>
    <col min="25" max="25" width="11.5703125" style="6" customWidth="1"/>
    <col min="26" max="26" width="6.5703125" style="88" bestFit="1" customWidth="1"/>
    <col min="27" max="27" width="13.42578125" style="6" bestFit="1" customWidth="1"/>
    <col min="28" max="28" width="14.42578125" customWidth="1"/>
    <col min="29" max="29" width="14.28515625" customWidth="1"/>
  </cols>
  <sheetData>
    <row r="1" spans="1:49" ht="21.75" x14ac:dyDescent="0.3">
      <c r="A1" s="9" t="s">
        <v>13</v>
      </c>
      <c r="B1" s="93"/>
      <c r="C1" s="9"/>
      <c r="D1" s="93"/>
      <c r="E1" s="9"/>
      <c r="F1" s="93"/>
      <c r="G1" s="9"/>
      <c r="H1" s="95"/>
      <c r="I1" s="9"/>
      <c r="J1" s="95"/>
      <c r="K1" s="9"/>
      <c r="L1" s="93"/>
      <c r="M1" s="9"/>
      <c r="N1" s="68"/>
    </row>
    <row r="3" spans="1:49" ht="18" x14ac:dyDescent="0.25">
      <c r="A3" s="152" t="s">
        <v>131</v>
      </c>
      <c r="N3" s="88"/>
      <c r="P3" s="90"/>
      <c r="R3" s="96"/>
      <c r="T3" s="88"/>
      <c r="V3" s="88"/>
      <c r="X3" s="88"/>
    </row>
    <row r="4" spans="1:49" x14ac:dyDescent="0.2">
      <c r="AB4" s="6"/>
      <c r="AC4" s="8"/>
    </row>
    <row r="5" spans="1:49" x14ac:dyDescent="0.2">
      <c r="B5" s="22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88" t="s">
        <v>38</v>
      </c>
      <c r="I5" s="6" t="s">
        <v>24</v>
      </c>
      <c r="J5" s="225" t="s">
        <v>38</v>
      </c>
      <c r="K5" s="226" t="s">
        <v>25</v>
      </c>
      <c r="L5" s="88" t="s">
        <v>38</v>
      </c>
      <c r="M5" s="6" t="s">
        <v>20</v>
      </c>
      <c r="N5" s="395" t="s">
        <v>38</v>
      </c>
      <c r="O5" s="331" t="s">
        <v>4</v>
      </c>
      <c r="P5" s="52" t="s">
        <v>38</v>
      </c>
      <c r="Q5" t="s">
        <v>5</v>
      </c>
      <c r="R5" s="407" t="s">
        <v>38</v>
      </c>
      <c r="S5" s="226" t="s">
        <v>6</v>
      </c>
      <c r="T5" s="147" t="s">
        <v>38</v>
      </c>
      <c r="U5" s="72" t="s">
        <v>7</v>
      </c>
      <c r="V5" s="407" t="s">
        <v>38</v>
      </c>
      <c r="W5" s="226" t="s">
        <v>8</v>
      </c>
      <c r="X5" s="81" t="s">
        <v>38</v>
      </c>
      <c r="Y5" s="6" t="s">
        <v>9</v>
      </c>
      <c r="Z5" s="272" t="s">
        <v>38</v>
      </c>
      <c r="AA5" s="274" t="s">
        <v>47</v>
      </c>
      <c r="AB5" s="36"/>
      <c r="AC5" s="87"/>
    </row>
    <row r="6" spans="1:49" x14ac:dyDescent="0.2">
      <c r="B6" s="255"/>
      <c r="C6" s="369"/>
      <c r="D6" s="96"/>
      <c r="E6" s="38"/>
      <c r="F6" s="255"/>
      <c r="G6" s="369"/>
      <c r="I6" s="38"/>
      <c r="J6" s="255"/>
      <c r="K6" s="369"/>
      <c r="L6" s="96"/>
      <c r="M6" s="38"/>
      <c r="N6" s="396"/>
      <c r="O6" s="397"/>
      <c r="P6" s="109"/>
      <c r="Q6" s="38"/>
      <c r="R6" s="408"/>
      <c r="S6" s="369"/>
      <c r="T6" s="148"/>
      <c r="U6" s="110"/>
      <c r="V6" s="412"/>
      <c r="W6" s="369"/>
      <c r="X6" s="111"/>
      <c r="Y6" s="38"/>
      <c r="Z6" s="382"/>
      <c r="AA6" s="383"/>
      <c r="AB6" s="112"/>
      <c r="AC6" s="113"/>
    </row>
    <row r="7" spans="1:49" x14ac:dyDescent="0.2">
      <c r="A7" t="s">
        <v>118</v>
      </c>
      <c r="B7" s="255"/>
      <c r="C7" s="369"/>
      <c r="D7" s="96"/>
      <c r="E7" s="38"/>
      <c r="F7" s="255"/>
      <c r="G7" s="369"/>
      <c r="I7" s="38"/>
      <c r="J7" s="255"/>
      <c r="K7" s="369"/>
      <c r="L7" s="96"/>
      <c r="M7" s="38"/>
      <c r="N7" s="396"/>
      <c r="O7" s="397"/>
      <c r="P7" s="109"/>
      <c r="Q7" s="38"/>
      <c r="R7" s="408"/>
      <c r="S7" s="369"/>
      <c r="T7" s="148"/>
      <c r="U7" s="110"/>
      <c r="V7" s="412"/>
      <c r="W7" s="369"/>
      <c r="X7" s="111"/>
      <c r="Y7" s="38"/>
      <c r="Z7" s="382"/>
      <c r="AA7" s="383"/>
      <c r="AB7" s="38"/>
      <c r="AC7" s="113"/>
    </row>
    <row r="8" spans="1:49" s="29" customFormat="1" x14ac:dyDescent="0.2">
      <c r="A8" s="27" t="s">
        <v>129</v>
      </c>
      <c r="B8" s="370">
        <v>1522</v>
      </c>
      <c r="C8" s="371">
        <v>79306.55</v>
      </c>
      <c r="D8" s="97">
        <v>1675</v>
      </c>
      <c r="E8" s="40">
        <v>62778.61</v>
      </c>
      <c r="F8" s="328">
        <v>1265</v>
      </c>
      <c r="G8" s="371">
        <v>49173.25</v>
      </c>
      <c r="H8" s="97">
        <v>1582</v>
      </c>
      <c r="I8" s="40">
        <v>69890.759999999995</v>
      </c>
      <c r="J8" s="324">
        <v>1512</v>
      </c>
      <c r="K8" s="371">
        <v>73251</v>
      </c>
      <c r="L8" s="97">
        <v>1230</v>
      </c>
      <c r="M8" s="40">
        <v>56412.46</v>
      </c>
      <c r="N8" s="324">
        <v>1578</v>
      </c>
      <c r="O8" s="398">
        <v>87323.89</v>
      </c>
      <c r="P8" s="144">
        <v>1589</v>
      </c>
      <c r="Q8" s="29">
        <v>92695.87</v>
      </c>
      <c r="R8" s="409">
        <v>1511</v>
      </c>
      <c r="S8" s="371">
        <v>98130.48</v>
      </c>
      <c r="T8" s="149">
        <v>1717</v>
      </c>
      <c r="U8" s="115">
        <v>94005.6</v>
      </c>
      <c r="V8" s="413">
        <v>1648</v>
      </c>
      <c r="W8" s="398">
        <v>89644</v>
      </c>
      <c r="X8" s="116">
        <v>1478</v>
      </c>
      <c r="Y8" s="40">
        <v>79182.19</v>
      </c>
      <c r="Z8" s="384">
        <f t="shared" ref="Z8:AA10" si="0">SUM(B8,D8,F8,H8,J8,L8,N8,P8,R8,T8,V8,X8)</f>
        <v>18307</v>
      </c>
      <c r="AA8" s="385">
        <f t="shared" si="0"/>
        <v>931794.65999999992</v>
      </c>
      <c r="AB8" s="40"/>
      <c r="AC8" s="118"/>
    </row>
    <row r="9" spans="1:49" x14ac:dyDescent="0.2">
      <c r="A9" t="s">
        <v>120</v>
      </c>
      <c r="B9" s="255">
        <v>4385</v>
      </c>
      <c r="C9" s="372">
        <v>136528.37</v>
      </c>
      <c r="D9" s="98">
        <v>5419</v>
      </c>
      <c r="E9" s="41">
        <v>174969.3</v>
      </c>
      <c r="F9" s="328">
        <v>4804</v>
      </c>
      <c r="G9" s="372">
        <v>183560.2</v>
      </c>
      <c r="H9" s="98">
        <v>5329</v>
      </c>
      <c r="I9" s="41">
        <v>186061.18</v>
      </c>
      <c r="J9" s="328">
        <v>4471</v>
      </c>
      <c r="K9" s="372">
        <v>151246.39999999999</v>
      </c>
      <c r="L9" s="98">
        <v>3764</v>
      </c>
      <c r="M9" s="41">
        <v>128712.1</v>
      </c>
      <c r="N9" s="324">
        <v>4322</v>
      </c>
      <c r="O9" s="397">
        <v>177410.15</v>
      </c>
      <c r="P9" s="144">
        <v>5043</v>
      </c>
      <c r="Q9" s="108">
        <v>205730.14</v>
      </c>
      <c r="R9" s="410">
        <v>4946</v>
      </c>
      <c r="S9" s="372">
        <v>197539.96</v>
      </c>
      <c r="T9" s="146">
        <v>5196</v>
      </c>
      <c r="U9" s="110">
        <v>189608.03</v>
      </c>
      <c r="V9" s="412">
        <v>5105</v>
      </c>
      <c r="W9" s="397">
        <v>185745.03</v>
      </c>
      <c r="X9" s="120">
        <v>4780</v>
      </c>
      <c r="Y9" s="151">
        <v>201431</v>
      </c>
      <c r="Z9" s="386">
        <f t="shared" si="0"/>
        <v>57564</v>
      </c>
      <c r="AA9" s="385">
        <f t="shared" si="0"/>
        <v>2118541.86</v>
      </c>
      <c r="AB9" s="41"/>
      <c r="AC9" s="118"/>
    </row>
    <row r="10" spans="1:49" x14ac:dyDescent="0.2">
      <c r="A10" t="s">
        <v>32</v>
      </c>
      <c r="B10" s="365">
        <f>300+7+354+20+552+169</f>
        <v>1402</v>
      </c>
      <c r="C10" s="373">
        <f>6997.84+986.72+82798.87</f>
        <v>90783.43</v>
      </c>
      <c r="D10" s="99">
        <f>384+286+18+574+196</f>
        <v>1458</v>
      </c>
      <c r="E10" s="42">
        <f>6778.2+71935.68</f>
        <v>78713.87999999999</v>
      </c>
      <c r="F10" s="326">
        <f>320+7+291+8+467+201</f>
        <v>1294</v>
      </c>
      <c r="G10" s="373">
        <f>6803.16+2399.48+158164.86</f>
        <v>167367.5</v>
      </c>
      <c r="H10" s="99">
        <f>331+2+14+605+212</f>
        <v>1164</v>
      </c>
      <c r="I10" s="138">
        <f>4587.04+217.31+111341.84</f>
        <v>116146.19</v>
      </c>
      <c r="J10" s="326">
        <v>1143</v>
      </c>
      <c r="K10" s="373">
        <f>4640+1160.91+72696.54</f>
        <v>78497.45</v>
      </c>
      <c r="L10" s="99">
        <f>205+12+279+7+501+166</f>
        <v>1170</v>
      </c>
      <c r="M10" s="42">
        <f>3268+2329+67693.39</f>
        <v>73290.39</v>
      </c>
      <c r="N10" s="399">
        <f>292+7+252+13+598+1+220</f>
        <v>1383</v>
      </c>
      <c r="O10" s="400">
        <f>7625+3062.98+101802.78</f>
        <v>112490.76</v>
      </c>
      <c r="P10" s="138">
        <f>290+9+245+15+610+217</f>
        <v>1386</v>
      </c>
      <c r="Q10" s="42">
        <f>6880.5+3172.93+93766.8</f>
        <v>103820.23000000001</v>
      </c>
      <c r="R10" s="411">
        <f>343+19+102+14+583+192</f>
        <v>1253</v>
      </c>
      <c r="S10" s="373">
        <f>9323.96+8573.46+67527.05</f>
        <v>85424.47</v>
      </c>
      <c r="T10" s="150">
        <f>382+3+140+7+597+215</f>
        <v>1344</v>
      </c>
      <c r="U10" s="123">
        <f>2059.9+15532+92497.63</f>
        <v>110089.53</v>
      </c>
      <c r="V10" s="414">
        <f>347+2+163+12+697+217</f>
        <v>1438</v>
      </c>
      <c r="W10" s="373">
        <f>9131+693.02+118517.13</f>
        <v>128341.15000000001</v>
      </c>
      <c r="X10" s="124">
        <f>268+255+14+753+1+178</f>
        <v>1469</v>
      </c>
      <c r="Y10" s="122">
        <f>47248+79744.17</f>
        <v>126992.17</v>
      </c>
      <c r="Z10" s="387">
        <f t="shared" si="0"/>
        <v>15904</v>
      </c>
      <c r="AA10" s="388">
        <f t="shared" si="0"/>
        <v>1271957.1499999999</v>
      </c>
      <c r="AB10" s="140"/>
      <c r="AC10" s="131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</row>
    <row r="11" spans="1:49" x14ac:dyDescent="0.2">
      <c r="A11" t="s">
        <v>125</v>
      </c>
      <c r="B11" s="255"/>
      <c r="C11" s="371">
        <f>SUM(C8:C10)</f>
        <v>306618.34999999998</v>
      </c>
      <c r="D11" s="97"/>
      <c r="E11" s="40">
        <f>SUM(E8:E10)</f>
        <v>316461.78999999998</v>
      </c>
      <c r="F11" s="324"/>
      <c r="G11" s="371">
        <f>SUM(G8:G10)</f>
        <v>400100.95</v>
      </c>
      <c r="I11" s="40">
        <f>SUM(I8:I10)</f>
        <v>372098.13</v>
      </c>
      <c r="J11" s="324"/>
      <c r="K11" s="371">
        <f>SUM(K8:K10)</f>
        <v>302994.84999999998</v>
      </c>
      <c r="L11" s="97"/>
      <c r="M11" s="40">
        <f>SUM(M8:M10)</f>
        <v>258414.95</v>
      </c>
      <c r="N11" s="401"/>
      <c r="O11" s="371">
        <f>SUM(O8:O10)</f>
        <v>377224.8</v>
      </c>
      <c r="P11" s="114"/>
      <c r="Q11" s="40">
        <f>SUM(Q8:Q10)</f>
        <v>402246.24</v>
      </c>
      <c r="R11" s="409"/>
      <c r="S11" s="371">
        <f>SUM(S8:S10)</f>
        <v>381094.91000000003</v>
      </c>
      <c r="T11" s="149"/>
      <c r="U11" s="126">
        <f>SUM(U8:U10)</f>
        <v>393703.16000000003</v>
      </c>
      <c r="V11" s="409"/>
      <c r="W11" s="371">
        <f>SUM(W8:W10)</f>
        <v>403730.18000000005</v>
      </c>
      <c r="X11" s="116"/>
      <c r="Y11" s="40">
        <f>SUM(Y8:Y10)</f>
        <v>407605.36</v>
      </c>
      <c r="Z11" s="384"/>
      <c r="AA11" s="389">
        <f>SUM(C11,E11,G11,I11,K11,M11,O11,Q11,S11,U11,W11,Y11)</f>
        <v>4322293.67</v>
      </c>
      <c r="AB11" s="141"/>
      <c r="AC11" s="142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x14ac:dyDescent="0.2">
      <c r="A12" t="s">
        <v>126</v>
      </c>
      <c r="B12" s="365"/>
      <c r="C12" s="373">
        <v>33333.339999999997</v>
      </c>
      <c r="D12" s="99"/>
      <c r="E12" s="42">
        <v>33333.33</v>
      </c>
      <c r="F12" s="326"/>
      <c r="G12" s="373">
        <v>33333.33</v>
      </c>
      <c r="H12" s="99"/>
      <c r="I12" s="42">
        <v>33333.339999999997</v>
      </c>
      <c r="J12" s="326"/>
      <c r="K12" s="373">
        <v>33333.33</v>
      </c>
      <c r="L12" s="99"/>
      <c r="M12" s="42">
        <v>33333.33</v>
      </c>
      <c r="N12" s="402"/>
      <c r="O12" s="373">
        <v>33333.339999999997</v>
      </c>
      <c r="P12" s="121"/>
      <c r="Q12" s="42">
        <v>33333.33</v>
      </c>
      <c r="R12" s="411"/>
      <c r="S12" s="373">
        <v>33333.33</v>
      </c>
      <c r="T12" s="150"/>
      <c r="U12" s="127">
        <v>33333.339999999997</v>
      </c>
      <c r="V12" s="411"/>
      <c r="W12" s="373">
        <v>33333.33</v>
      </c>
      <c r="X12" s="124"/>
      <c r="Y12" s="42">
        <v>33333.33</v>
      </c>
      <c r="Z12" s="387"/>
      <c r="AA12" s="388">
        <f>SUM(C12,E12,G12,I12,K12,M12,O12,Q12,S12,U12,W12,Y12)</f>
        <v>400000</v>
      </c>
      <c r="AB12" s="143"/>
      <c r="AC12" s="131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49" x14ac:dyDescent="0.2">
      <c r="A13" t="s">
        <v>124</v>
      </c>
      <c r="B13" s="255"/>
      <c r="C13" s="372">
        <f>SUM(C11:C12)</f>
        <v>339951.68999999994</v>
      </c>
      <c r="D13" s="98"/>
      <c r="E13" s="41">
        <f>SUM(E11:E12)</f>
        <v>349795.12</v>
      </c>
      <c r="F13" s="328"/>
      <c r="G13" s="372">
        <f>SUM(G11:G12)</f>
        <v>433434.28</v>
      </c>
      <c r="H13" s="98"/>
      <c r="I13" s="41">
        <f>SUM(I11:I12)</f>
        <v>405431.47</v>
      </c>
      <c r="J13" s="328"/>
      <c r="K13" s="372">
        <f>SUM(K11:K12)</f>
        <v>336328.18</v>
      </c>
      <c r="L13" s="98"/>
      <c r="M13" s="41">
        <f>SUM(M11:M12)</f>
        <v>291748.28000000003</v>
      </c>
      <c r="N13" s="403"/>
      <c r="O13" s="372">
        <f>SUM(O11:O12)</f>
        <v>410558.14</v>
      </c>
      <c r="P13" s="119"/>
      <c r="Q13" s="41">
        <f>SUM(Q11:Q12)</f>
        <v>435579.57</v>
      </c>
      <c r="R13" s="410"/>
      <c r="S13" s="372">
        <f>SUM(S11:S12)</f>
        <v>414428.24000000005</v>
      </c>
      <c r="T13" s="146"/>
      <c r="U13" s="128">
        <f>SUM(U11:U12)</f>
        <v>427036.5</v>
      </c>
      <c r="V13" s="410"/>
      <c r="W13" s="372">
        <f>SUM(W11:W12)</f>
        <v>437063.51000000007</v>
      </c>
      <c r="X13" s="120"/>
      <c r="Y13" s="41">
        <f>SUM(Y11:Y12)</f>
        <v>440938.69</v>
      </c>
      <c r="Z13" s="386"/>
      <c r="AA13" s="385">
        <f>SUM(C13,E13,G13,I13,K13,M13,O13,Q13,S13,U13,W13,Y13)</f>
        <v>4722293.67</v>
      </c>
      <c r="AB13" s="143"/>
      <c r="AC13" s="131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49" x14ac:dyDescent="0.2">
      <c r="B14" s="255"/>
      <c r="C14" s="372"/>
      <c r="D14" s="98"/>
      <c r="E14" s="41"/>
      <c r="F14" s="328"/>
      <c r="G14" s="372"/>
      <c r="H14" s="98"/>
      <c r="I14" s="38"/>
      <c r="J14" s="255"/>
      <c r="K14" s="369"/>
      <c r="L14" s="96"/>
      <c r="M14" s="38"/>
      <c r="N14" s="396"/>
      <c r="O14" s="372"/>
      <c r="P14" s="119"/>
      <c r="Q14" s="38"/>
      <c r="R14" s="408"/>
      <c r="S14" s="369"/>
      <c r="T14" s="148"/>
      <c r="U14" s="128"/>
      <c r="V14" s="410"/>
      <c r="W14" s="372"/>
      <c r="X14" s="120"/>
      <c r="Y14" s="38"/>
      <c r="Z14" s="382"/>
      <c r="AA14" s="383"/>
      <c r="AB14" s="130"/>
      <c r="AC14" s="131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</row>
    <row r="15" spans="1:49" x14ac:dyDescent="0.2">
      <c r="A15" t="s">
        <v>122</v>
      </c>
      <c r="B15" s="255"/>
      <c r="C15" s="369"/>
      <c r="D15" s="98"/>
      <c r="E15" s="41"/>
      <c r="F15" s="328"/>
      <c r="G15" s="372"/>
      <c r="H15" s="98"/>
      <c r="I15" s="38"/>
      <c r="J15" s="255"/>
      <c r="K15" s="369"/>
      <c r="L15" s="96"/>
      <c r="M15" s="38"/>
      <c r="N15" s="396"/>
      <c r="O15" s="372"/>
      <c r="P15" s="119"/>
      <c r="Q15" s="38"/>
      <c r="R15" s="408"/>
      <c r="S15" s="369"/>
      <c r="T15" s="148"/>
      <c r="U15" s="128"/>
      <c r="V15" s="410"/>
      <c r="W15" s="372"/>
      <c r="X15" s="120"/>
      <c r="Y15" s="38"/>
      <c r="Z15" s="382"/>
      <c r="AA15" s="383"/>
      <c r="AB15" s="130"/>
      <c r="AC15" s="131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x14ac:dyDescent="0.2">
      <c r="A16" s="4" t="s">
        <v>57</v>
      </c>
      <c r="B16" s="255"/>
      <c r="C16" s="372">
        <v>117886.72</v>
      </c>
      <c r="D16" s="98"/>
      <c r="E16" s="41">
        <v>131829.6</v>
      </c>
      <c r="F16" s="328"/>
      <c r="G16" s="372">
        <v>118101.48</v>
      </c>
      <c r="H16" s="98"/>
      <c r="I16" s="41">
        <v>128211.72</v>
      </c>
      <c r="J16" s="328"/>
      <c r="K16" s="372">
        <v>113261.12</v>
      </c>
      <c r="L16" s="98"/>
      <c r="M16" s="117">
        <v>100441.60000000001</v>
      </c>
      <c r="N16" s="396"/>
      <c r="O16" s="372">
        <v>117622.39999999999</v>
      </c>
      <c r="P16" s="119"/>
      <c r="Q16" s="40">
        <v>123156.6</v>
      </c>
      <c r="R16" s="410"/>
      <c r="S16" s="372">
        <v>128277.8</v>
      </c>
      <c r="T16" s="146"/>
      <c r="U16" s="129">
        <v>139563.57</v>
      </c>
      <c r="V16" s="410"/>
      <c r="W16" s="372">
        <v>142179.22</v>
      </c>
      <c r="X16" s="120"/>
      <c r="Y16" s="41">
        <v>137832.57999999999</v>
      </c>
      <c r="Z16" s="382"/>
      <c r="AA16" s="390">
        <f>SUM(C16:Y16)</f>
        <v>1498364.4100000001</v>
      </c>
      <c r="AB16" s="130"/>
      <c r="AC16" s="131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</row>
    <row r="17" spans="1:49" x14ac:dyDescent="0.2">
      <c r="A17" s="4" t="s">
        <v>34</v>
      </c>
      <c r="B17" s="365"/>
      <c r="C17" s="373">
        <v>25396.880000000001</v>
      </c>
      <c r="D17" s="99"/>
      <c r="E17" s="42">
        <v>28408.799999999999</v>
      </c>
      <c r="F17" s="326"/>
      <c r="G17" s="373">
        <v>25450.44</v>
      </c>
      <c r="H17" s="99"/>
      <c r="I17" s="42">
        <v>27629.16</v>
      </c>
      <c r="J17" s="326"/>
      <c r="K17" s="373">
        <v>18356.88</v>
      </c>
      <c r="L17" s="99"/>
      <c r="M17" s="125">
        <v>15566.8</v>
      </c>
      <c r="N17" s="404"/>
      <c r="O17" s="373">
        <v>18227.2</v>
      </c>
      <c r="P17" s="121"/>
      <c r="Q17" s="42">
        <v>19084.8</v>
      </c>
      <c r="R17" s="411"/>
      <c r="S17" s="373">
        <v>19878.400000000001</v>
      </c>
      <c r="T17" s="150"/>
      <c r="U17" s="132">
        <v>21414.52</v>
      </c>
      <c r="V17" s="411"/>
      <c r="W17" s="373">
        <v>16279.26</v>
      </c>
      <c r="X17" s="124"/>
      <c r="Y17" s="42">
        <v>15395.12</v>
      </c>
      <c r="Z17" s="387"/>
      <c r="AA17" s="388">
        <f>SUM(C17:Y17)</f>
        <v>251088.25999999998</v>
      </c>
      <c r="AB17" s="130"/>
      <c r="AC17" s="131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</row>
    <row r="18" spans="1:49" x14ac:dyDescent="0.2">
      <c r="A18" t="s">
        <v>63</v>
      </c>
      <c r="B18" s="255">
        <v>7133</v>
      </c>
      <c r="C18" s="372">
        <f>SUM(C16:C17)</f>
        <v>143283.6</v>
      </c>
      <c r="D18" s="98">
        <v>7980</v>
      </c>
      <c r="E18" s="41">
        <f>SUM(E16:E17)</f>
        <v>160238.39999999999</v>
      </c>
      <c r="F18" s="328">
        <v>7149</v>
      </c>
      <c r="G18" s="372">
        <f>SUM(G16:G17)</f>
        <v>143551.91999999998</v>
      </c>
      <c r="H18" s="98">
        <v>7761</v>
      </c>
      <c r="I18" s="41">
        <f>SUM(I16:I17)</f>
        <v>155840.88</v>
      </c>
      <c r="J18" s="328">
        <v>6865</v>
      </c>
      <c r="K18" s="372">
        <f>SUM(K16:K17)</f>
        <v>131618</v>
      </c>
      <c r="L18" s="98">
        <v>6087</v>
      </c>
      <c r="M18" s="41">
        <f>SUM(M16:M17)</f>
        <v>116008.40000000001</v>
      </c>
      <c r="N18" s="405">
        <v>7128</v>
      </c>
      <c r="O18" s="372">
        <f>SUM(O16:O17)</f>
        <v>135849.60000000001</v>
      </c>
      <c r="P18" s="144">
        <v>7455</v>
      </c>
      <c r="Q18" s="41">
        <f>SUM(Q16:Q17)</f>
        <v>142241.4</v>
      </c>
      <c r="R18" s="410">
        <v>7765</v>
      </c>
      <c r="S18" s="372">
        <f>SUM(S16:S17)</f>
        <v>148156.20000000001</v>
      </c>
      <c r="T18" s="146">
        <v>8434</v>
      </c>
      <c r="U18" s="128">
        <f>SUM(U16+U17)</f>
        <v>160978.09</v>
      </c>
      <c r="V18" s="410">
        <v>7986</v>
      </c>
      <c r="W18" s="415">
        <f>SUM(W16+W17)</f>
        <v>158458.48000000001</v>
      </c>
      <c r="X18" s="120">
        <v>7700</v>
      </c>
      <c r="Y18" s="128">
        <f>SUM(Y16+Y17)</f>
        <v>153227.69999999998</v>
      </c>
      <c r="Z18" s="391">
        <f>SUM(B18,D18,F18,H18,J18,L18,N18,P18,R18,T18,V18,X18)</f>
        <v>89443</v>
      </c>
      <c r="AA18" s="385">
        <f>SUM(C18,E18,G18,I18,K18,M18,O18,Q18,S18,U18,W18,Y18)</f>
        <v>1749452.67</v>
      </c>
      <c r="AB18" s="130"/>
      <c r="AC18" s="131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</row>
    <row r="19" spans="1:49" x14ac:dyDescent="0.2">
      <c r="B19" s="255"/>
      <c r="C19" s="372"/>
      <c r="D19" s="98"/>
      <c r="E19" s="41"/>
      <c r="F19" s="328"/>
      <c r="G19" s="372"/>
      <c r="H19" s="98"/>
      <c r="I19" s="41"/>
      <c r="J19" s="328"/>
      <c r="K19" s="372"/>
      <c r="L19" s="98"/>
      <c r="M19" s="41"/>
      <c r="N19" s="403"/>
      <c r="O19" s="372"/>
      <c r="P19" s="119"/>
      <c r="Q19" s="38"/>
      <c r="R19" s="408"/>
      <c r="S19" s="369"/>
      <c r="T19" s="148"/>
      <c r="U19" s="128"/>
      <c r="V19" s="410"/>
      <c r="W19" s="372"/>
      <c r="X19" s="120"/>
      <c r="Y19" s="38"/>
      <c r="Z19" s="382"/>
      <c r="AA19" s="383"/>
      <c r="AB19" s="130"/>
      <c r="AC19" s="131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</row>
    <row r="20" spans="1:49" s="8" customFormat="1" ht="13.5" thickBot="1" x14ac:dyDescent="0.25">
      <c r="A20" s="361" t="s">
        <v>123</v>
      </c>
      <c r="B20" s="376"/>
      <c r="C20" s="377">
        <f>C13-C18</f>
        <v>196668.08999999994</v>
      </c>
      <c r="D20" s="161"/>
      <c r="E20" s="377">
        <f>E13-E18</f>
        <v>189556.72</v>
      </c>
      <c r="F20" s="161"/>
      <c r="G20" s="377">
        <f>G13-G18</f>
        <v>289882.36000000004</v>
      </c>
      <c r="H20" s="161"/>
      <c r="I20" s="377">
        <f>I13-I18</f>
        <v>249590.58999999997</v>
      </c>
      <c r="J20" s="161"/>
      <c r="K20" s="377">
        <f>K13-K18</f>
        <v>204710.18</v>
      </c>
      <c r="L20" s="161"/>
      <c r="M20" s="377">
        <f>M13-M18</f>
        <v>175739.88</v>
      </c>
      <c r="N20" s="378"/>
      <c r="O20" s="377">
        <f>O13-O18</f>
        <v>274708.54000000004</v>
      </c>
      <c r="P20" s="378"/>
      <c r="Q20" s="377">
        <f>Q13-Q18</f>
        <v>293338.17000000004</v>
      </c>
      <c r="R20" s="379"/>
      <c r="S20" s="377">
        <f>S13-S18</f>
        <v>266272.04000000004</v>
      </c>
      <c r="T20" s="379"/>
      <c r="U20" s="380">
        <f>U13-U18</f>
        <v>266058.41000000003</v>
      </c>
      <c r="V20" s="379"/>
      <c r="W20" s="377">
        <f>W13-W18</f>
        <v>278605.03000000003</v>
      </c>
      <c r="X20" s="381"/>
      <c r="Y20" s="377">
        <f>Y13-Y18</f>
        <v>287710.99</v>
      </c>
      <c r="Z20" s="161"/>
      <c r="AA20" s="377">
        <f>SUM(AA13-AA18)</f>
        <v>2972841</v>
      </c>
      <c r="AB20" s="142"/>
      <c r="AC20" s="14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</row>
    <row r="21" spans="1:49" x14ac:dyDescent="0.2">
      <c r="B21" s="255"/>
      <c r="C21" s="369"/>
      <c r="D21" s="96"/>
      <c r="E21" s="38"/>
      <c r="F21" s="255"/>
      <c r="G21" s="369"/>
      <c r="I21" s="38"/>
      <c r="J21" s="255"/>
      <c r="K21" s="369"/>
      <c r="L21" s="96"/>
      <c r="M21" s="38"/>
      <c r="N21" s="396"/>
      <c r="O21" s="372"/>
      <c r="P21" s="119"/>
      <c r="Q21" s="38"/>
      <c r="R21" s="408"/>
      <c r="S21" s="369"/>
      <c r="T21" s="148"/>
      <c r="U21" s="134"/>
      <c r="V21" s="408"/>
      <c r="W21" s="369"/>
      <c r="X21" s="111"/>
      <c r="Y21" s="38"/>
      <c r="Z21" s="382"/>
      <c r="AA21" s="383"/>
      <c r="AB21" s="137"/>
      <c r="AC21" s="13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</row>
    <row r="22" spans="1:49" x14ac:dyDescent="0.2">
      <c r="B22" s="255"/>
      <c r="C22" s="369"/>
      <c r="D22" s="96"/>
      <c r="E22" s="38"/>
      <c r="F22" s="255"/>
      <c r="G22" s="369"/>
      <c r="I22" s="38"/>
      <c r="J22" s="255"/>
      <c r="K22" s="369"/>
      <c r="L22" s="96"/>
      <c r="M22" s="38"/>
      <c r="N22" s="396"/>
      <c r="O22" s="372"/>
      <c r="P22" s="119"/>
      <c r="Q22" s="38"/>
      <c r="R22" s="408"/>
      <c r="S22" s="369"/>
      <c r="T22" s="148"/>
      <c r="U22" s="134"/>
      <c r="V22" s="408"/>
      <c r="W22" s="369"/>
      <c r="X22" s="111"/>
      <c r="Y22" s="38"/>
      <c r="Z22" s="382"/>
      <c r="AA22" s="383"/>
      <c r="AB22" s="38"/>
      <c r="AC22" s="38"/>
    </row>
    <row r="23" spans="1:49" x14ac:dyDescent="0.2">
      <c r="A23" s="45" t="s">
        <v>39</v>
      </c>
      <c r="B23" s="255"/>
      <c r="C23" s="369"/>
      <c r="D23" s="96"/>
      <c r="E23" s="38"/>
      <c r="F23" s="255"/>
      <c r="G23" s="369"/>
      <c r="I23" s="38"/>
      <c r="J23" s="255"/>
      <c r="K23" s="369"/>
      <c r="L23" s="96"/>
      <c r="M23" s="38"/>
      <c r="N23" s="396"/>
      <c r="O23" s="372"/>
      <c r="P23" s="119"/>
      <c r="Q23" s="38"/>
      <c r="R23" s="408"/>
      <c r="S23" s="369"/>
      <c r="T23" s="148"/>
      <c r="U23" s="134"/>
      <c r="V23" s="408"/>
      <c r="W23" s="369"/>
      <c r="X23" s="111"/>
      <c r="Y23" s="38"/>
      <c r="Z23" s="382"/>
      <c r="AA23" s="383"/>
      <c r="AB23" s="38"/>
      <c r="AC23" s="38"/>
    </row>
    <row r="24" spans="1:49" x14ac:dyDescent="0.2">
      <c r="A24" s="46" t="s">
        <v>50</v>
      </c>
      <c r="B24" s="365">
        <v>54</v>
      </c>
      <c r="C24" s="374"/>
      <c r="D24" s="100">
        <v>112</v>
      </c>
      <c r="E24" s="44"/>
      <c r="F24" s="365">
        <v>56</v>
      </c>
      <c r="G24" s="374"/>
      <c r="H24" s="100">
        <v>56</v>
      </c>
      <c r="I24" s="44"/>
      <c r="J24" s="365">
        <v>100</v>
      </c>
      <c r="K24" s="374"/>
      <c r="L24" s="100">
        <v>80</v>
      </c>
      <c r="M24" s="44"/>
      <c r="N24" s="404">
        <v>39</v>
      </c>
      <c r="O24" s="373"/>
      <c r="P24" s="121">
        <v>35</v>
      </c>
      <c r="Q24" s="44"/>
      <c r="R24" s="416">
        <v>64</v>
      </c>
      <c r="S24" s="374"/>
      <c r="T24" s="145">
        <v>49</v>
      </c>
      <c r="U24" s="135"/>
      <c r="V24" s="416">
        <v>69</v>
      </c>
      <c r="W24" s="374"/>
      <c r="X24" s="136">
        <v>86</v>
      </c>
      <c r="Y24" s="44"/>
      <c r="Z24" s="392">
        <f>SUM(B24,D24,F24,H24,J24,L24,N24,P24,R24,T24,V24,X24)</f>
        <v>800</v>
      </c>
      <c r="AA24" s="393"/>
      <c r="AB24" s="137"/>
      <c r="AC24" s="137"/>
    </row>
    <row r="25" spans="1:49" x14ac:dyDescent="0.2">
      <c r="A25" s="46" t="s">
        <v>51</v>
      </c>
      <c r="B25" s="359">
        <f>B24/B8</f>
        <v>3.5479632063074903E-2</v>
      </c>
      <c r="C25" s="369"/>
      <c r="D25" s="139">
        <f>D24/D8</f>
        <v>6.6865671641791039E-2</v>
      </c>
      <c r="E25" s="38"/>
      <c r="F25" s="359">
        <f>F24/F8</f>
        <v>4.4268774703557313E-2</v>
      </c>
      <c r="G25" s="369"/>
      <c r="H25" s="139">
        <f>H24/H8</f>
        <v>3.5398230088495575E-2</v>
      </c>
      <c r="I25" s="38"/>
      <c r="J25" s="359">
        <f>J24/J8</f>
        <v>6.6137566137566134E-2</v>
      </c>
      <c r="K25" s="369"/>
      <c r="L25" s="139">
        <f>L24/L8</f>
        <v>6.5040650406504072E-2</v>
      </c>
      <c r="M25" s="38"/>
      <c r="N25" s="359">
        <f>N24/N8</f>
        <v>2.4714828897338403E-2</v>
      </c>
      <c r="O25" s="372"/>
      <c r="P25" s="139">
        <f>P24/P8</f>
        <v>2.2026431718061675E-2</v>
      </c>
      <c r="Q25" s="38"/>
      <c r="R25" s="359">
        <f>R24/R8</f>
        <v>4.2356055592322965E-2</v>
      </c>
      <c r="S25" s="369"/>
      <c r="T25" s="139">
        <f>T24/T8</f>
        <v>2.8538147932440302E-2</v>
      </c>
      <c r="U25" s="38"/>
      <c r="V25" s="359">
        <f>V24/V8</f>
        <v>4.1868932038834954E-2</v>
      </c>
      <c r="W25" s="369"/>
      <c r="X25" s="139">
        <f>X24/X8</f>
        <v>5.8186738836265225E-2</v>
      </c>
      <c r="Y25" s="38"/>
      <c r="Z25" s="363">
        <f>Z24/Z8</f>
        <v>4.3699131479761837E-2</v>
      </c>
      <c r="AA25" s="383"/>
      <c r="AB25" s="38"/>
      <c r="AC25" s="38"/>
    </row>
    <row r="26" spans="1:49" x14ac:dyDescent="0.2">
      <c r="B26" s="255"/>
      <c r="C26" s="369"/>
      <c r="D26" s="96"/>
      <c r="E26" s="38"/>
      <c r="F26" s="255"/>
      <c r="G26" s="369"/>
      <c r="I26" s="38"/>
      <c r="J26" s="255"/>
      <c r="K26" s="369"/>
      <c r="L26" s="96"/>
      <c r="M26" s="38"/>
      <c r="N26" s="396"/>
      <c r="O26" s="372"/>
      <c r="P26" s="107"/>
      <c r="Q26" s="38"/>
      <c r="R26" s="408"/>
      <c r="S26" s="369"/>
      <c r="T26" s="148"/>
      <c r="U26" s="134"/>
      <c r="V26" s="408"/>
      <c r="W26" s="369"/>
      <c r="X26" s="111"/>
      <c r="Y26" s="38"/>
      <c r="Z26" s="382"/>
      <c r="AA26" s="383"/>
      <c r="AB26" s="38"/>
      <c r="AC26" s="38"/>
    </row>
    <row r="27" spans="1:49" x14ac:dyDescent="0.2">
      <c r="A27" t="s">
        <v>37</v>
      </c>
      <c r="B27" s="365">
        <f>SUM(B8,B9,B10,B24)</f>
        <v>7363</v>
      </c>
      <c r="C27" s="375">
        <v>1614674.96</v>
      </c>
      <c r="D27" s="100">
        <f>SUM(D8,D9,D10,D24)</f>
        <v>8664</v>
      </c>
      <c r="E27" s="135">
        <v>2166732.7599999998</v>
      </c>
      <c r="F27" s="365">
        <f>SUM(F8,F9,F10,F24)</f>
        <v>7419</v>
      </c>
      <c r="G27" s="375">
        <v>1798604.65</v>
      </c>
      <c r="H27" s="100">
        <f>SUM(H8,H9,H10,H24)</f>
        <v>8131</v>
      </c>
      <c r="I27" s="135">
        <v>2026495.7</v>
      </c>
      <c r="J27" s="365">
        <f>SUM(J8,J9,J10,J24)</f>
        <v>7226</v>
      </c>
      <c r="K27" s="375">
        <v>1829493.52</v>
      </c>
      <c r="L27" s="100">
        <f>SUM(L8,L9,L10,L24)</f>
        <v>6244</v>
      </c>
      <c r="M27" s="135">
        <v>1377808.52</v>
      </c>
      <c r="N27" s="399">
        <f>SUM(N8,N9,N10,N24)</f>
        <v>7322</v>
      </c>
      <c r="O27" s="406">
        <v>1775528.63</v>
      </c>
      <c r="P27" s="145">
        <f>SUM(P8,P9,P10,P24)</f>
        <v>8053</v>
      </c>
      <c r="Q27" s="135">
        <v>1845160.18</v>
      </c>
      <c r="R27" s="416">
        <f>SUM(R8,R9,R10,R24)</f>
        <v>7774</v>
      </c>
      <c r="S27" s="375">
        <v>1772262.86</v>
      </c>
      <c r="T27" s="145">
        <f>SUM(T8,T9,T10,T24)</f>
        <v>8306</v>
      </c>
      <c r="U27" s="135">
        <v>1932793.46</v>
      </c>
      <c r="V27" s="416">
        <f>SUM(V8,V9,V10,V24)</f>
        <v>8260</v>
      </c>
      <c r="W27" s="417">
        <v>2076579.71</v>
      </c>
      <c r="X27" s="136">
        <f>SUM(X8,X9,X10,X24)</f>
        <v>7813</v>
      </c>
      <c r="Y27" s="135">
        <v>2006923.38</v>
      </c>
      <c r="Z27" s="392">
        <f>SUM(B27,D27,F27,H27,J27,L27,N27,P27,R27,T27,V27,X27)</f>
        <v>92575</v>
      </c>
      <c r="AA27" s="394">
        <f>SUM(C27,E27,G27,I27,K27,M27,O27,Q27,S27,U27,W27,Y27)</f>
        <v>22223058.329999998</v>
      </c>
      <c r="AB27" s="137"/>
      <c r="AC27" s="137"/>
    </row>
    <row r="28" spans="1:49" x14ac:dyDescent="0.2">
      <c r="A28" s="46" t="s">
        <v>48</v>
      </c>
      <c r="B28" s="225"/>
      <c r="C28" s="323">
        <f>C20/C27</f>
        <v>0.12180042105811806</v>
      </c>
      <c r="E28" s="50">
        <f>E20/E27</f>
        <v>8.7485048225328918E-2</v>
      </c>
      <c r="F28" s="225"/>
      <c r="G28" s="323">
        <f>G20/G27</f>
        <v>0.16117069418229296</v>
      </c>
      <c r="I28" s="50">
        <f>I20/I27</f>
        <v>0.12316364155127493</v>
      </c>
      <c r="J28" s="255"/>
      <c r="K28" s="323">
        <f>K20/K27</f>
        <v>0.1118944548106407</v>
      </c>
      <c r="M28" s="50">
        <f>M20/M27</f>
        <v>0.12755029269234017</v>
      </c>
      <c r="N28" s="395"/>
      <c r="O28" s="323">
        <f>O20/O27</f>
        <v>0.15471929619067876</v>
      </c>
      <c r="Q28" s="50">
        <f>Q20/Q27</f>
        <v>0.15897707590893276</v>
      </c>
      <c r="R28" s="408"/>
      <c r="S28" s="323">
        <f>S20/S27</f>
        <v>0.15024410092304255</v>
      </c>
      <c r="U28" s="70">
        <f>U20/U27</f>
        <v>0.13765485837270997</v>
      </c>
      <c r="V28" s="407"/>
      <c r="W28" s="340">
        <f>W20/W27</f>
        <v>0.13416534345315356</v>
      </c>
      <c r="Y28" s="50">
        <f>Y20/Y27</f>
        <v>0.14335922978783575</v>
      </c>
      <c r="Z28" s="272"/>
      <c r="AA28" s="356">
        <f>AA20/AA27</f>
        <v>0.13377281181802128</v>
      </c>
    </row>
    <row r="30" spans="1:49" x14ac:dyDescent="0.2">
      <c r="B30" s="103"/>
      <c r="C30" s="55"/>
      <c r="D30" s="103"/>
      <c r="E30" s="55"/>
      <c r="F30" s="103"/>
      <c r="G30" s="55"/>
      <c r="H30" s="102"/>
      <c r="I30" s="55"/>
      <c r="J30" s="101"/>
      <c r="K30" s="7"/>
      <c r="L30" s="94"/>
      <c r="M30" s="7"/>
      <c r="N30" s="69"/>
    </row>
    <row r="31" spans="1:49" x14ac:dyDescent="0.2">
      <c r="A31" s="55" t="s">
        <v>49</v>
      </c>
    </row>
    <row r="34" spans="5:27" x14ac:dyDescent="0.2">
      <c r="E34" s="51"/>
    </row>
    <row r="35" spans="5:27" x14ac:dyDescent="0.2">
      <c r="AA35" s="38"/>
    </row>
  </sheetData>
  <phoneticPr fontId="0" type="noConversion"/>
  <pageMargins left="0.17" right="0.16" top="1" bottom="1" header="0.5" footer="0.5"/>
  <pageSetup scale="51" orientation="landscape" r:id="rId1"/>
  <headerFooter alignWithMargins="0">
    <oddHeader>&amp;CFY 08 Medicaid Savings</oddHeader>
    <oddFooter xml:space="preserve">&amp;L&amp;F&amp;RPrepared by Sunny Israelson
&amp;D
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opLeftCell="A3" zoomScaleNormal="100" workbookViewId="0">
      <pane xSplit="7" ySplit="18" topLeftCell="H2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" width="32.7109375" customWidth="1"/>
    <col min="2" max="2" width="5.5703125" style="96" bestFit="1" customWidth="1"/>
    <col min="3" max="3" width="11.5703125" bestFit="1" customWidth="1"/>
    <col min="4" max="4" width="5.5703125" style="88" bestFit="1" customWidth="1"/>
    <col min="5" max="5" width="11.28515625" bestFit="1" customWidth="1"/>
    <col min="6" max="6" width="5.5703125" style="88" bestFit="1" customWidth="1"/>
    <col min="7" max="7" width="11.28515625" bestFit="1" customWidth="1"/>
    <col min="8" max="8" width="6.7109375" style="38" bestFit="1" customWidth="1"/>
    <col min="9" max="9" width="11.5703125" bestFit="1" customWidth="1"/>
    <col min="10" max="10" width="6.7109375" style="38" bestFit="1" customWidth="1"/>
    <col min="11" max="11" width="12" bestFit="1" customWidth="1"/>
    <col min="12" max="12" width="5.5703125" style="88" bestFit="1" customWidth="1"/>
    <col min="13" max="13" width="11.5703125" bestFit="1" customWidth="1"/>
    <col min="14" max="14" width="5.5703125" style="88" bestFit="1" customWidth="1"/>
    <col min="15" max="15" width="11.42578125" style="26" bestFit="1" customWidth="1"/>
    <col min="16" max="16" width="5.5703125" style="90" bestFit="1" customWidth="1"/>
    <col min="17" max="17" width="11.5703125" bestFit="1" customWidth="1"/>
    <col min="18" max="18" width="6.7109375" style="96" bestFit="1" customWidth="1"/>
    <col min="19" max="19" width="12" style="6" customWidth="1"/>
    <col min="20" max="20" width="5.5703125" style="88" bestFit="1" customWidth="1"/>
    <col min="21" max="21" width="11.5703125" style="71" customWidth="1"/>
    <col min="22" max="22" width="5.5703125" style="88" bestFit="1" customWidth="1"/>
    <col min="23" max="23" width="13.5703125" style="6" customWidth="1"/>
    <col min="24" max="24" width="6.140625" style="81" bestFit="1" customWidth="1"/>
    <col min="25" max="25" width="11.5703125" style="6" customWidth="1"/>
    <col min="26" max="26" width="6.5703125" style="88" bestFit="1" customWidth="1"/>
    <col min="27" max="27" width="13.28515625" style="6" customWidth="1"/>
    <col min="28" max="28" width="14.42578125" customWidth="1"/>
    <col min="29" max="29" width="14.28515625" customWidth="1"/>
  </cols>
  <sheetData>
    <row r="1" spans="1:29" ht="21.75" x14ac:dyDescent="0.3">
      <c r="A1" s="9" t="s">
        <v>13</v>
      </c>
      <c r="B1" s="95"/>
      <c r="C1" s="9"/>
      <c r="D1" s="93"/>
      <c r="E1" s="9"/>
      <c r="F1" s="93"/>
      <c r="G1" s="9"/>
      <c r="H1" s="39"/>
      <c r="I1" s="9"/>
      <c r="J1" s="39"/>
      <c r="K1" s="9"/>
      <c r="L1" s="93"/>
      <c r="M1" s="9"/>
      <c r="N1" s="93"/>
    </row>
    <row r="3" spans="1:29" ht="18" x14ac:dyDescent="0.25">
      <c r="A3" s="152" t="s">
        <v>132</v>
      </c>
      <c r="B3" s="88"/>
      <c r="H3" s="96"/>
      <c r="J3" s="96"/>
      <c r="X3" s="88"/>
    </row>
    <row r="4" spans="1:29" x14ac:dyDescent="0.2">
      <c r="AB4" s="6" t="s">
        <v>28</v>
      </c>
      <c r="AC4" s="8"/>
    </row>
    <row r="5" spans="1:29" x14ac:dyDescent="0.2">
      <c r="B5" s="25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6" t="s">
        <v>38</v>
      </c>
      <c r="I5" s="6" t="s">
        <v>24</v>
      </c>
      <c r="J5" s="226" t="s">
        <v>38</v>
      </c>
      <c r="K5" s="226" t="s">
        <v>25</v>
      </c>
      <c r="L5" s="88" t="s">
        <v>38</v>
      </c>
      <c r="M5" s="6" t="s">
        <v>20</v>
      </c>
      <c r="N5" s="225" t="s">
        <v>38</v>
      </c>
      <c r="O5" s="331" t="s">
        <v>4</v>
      </c>
      <c r="P5" s="88" t="s">
        <v>38</v>
      </c>
      <c r="Q5" t="s">
        <v>5</v>
      </c>
      <c r="R5" s="225" t="s">
        <v>38</v>
      </c>
      <c r="S5" s="226" t="s">
        <v>6</v>
      </c>
      <c r="T5" s="88" t="s">
        <v>38</v>
      </c>
      <c r="U5" s="72" t="s">
        <v>7</v>
      </c>
      <c r="V5" s="225" t="s">
        <v>38</v>
      </c>
      <c r="W5" s="226" t="s">
        <v>8</v>
      </c>
      <c r="X5" s="81" t="s">
        <v>38</v>
      </c>
      <c r="Y5" s="6" t="s">
        <v>9</v>
      </c>
      <c r="Z5" s="88" t="s">
        <v>38</v>
      </c>
      <c r="AA5" s="274" t="s">
        <v>47</v>
      </c>
      <c r="AB5" s="36" t="s">
        <v>35</v>
      </c>
      <c r="AC5" s="87" t="s">
        <v>46</v>
      </c>
    </row>
    <row r="6" spans="1:29" x14ac:dyDescent="0.2">
      <c r="B6" s="255"/>
      <c r="C6" s="226"/>
      <c r="E6" s="6"/>
      <c r="F6" s="225"/>
      <c r="G6" s="226"/>
      <c r="I6" s="6"/>
      <c r="J6" s="369"/>
      <c r="K6" s="226"/>
      <c r="M6" s="6"/>
      <c r="N6" s="225"/>
      <c r="O6" s="331"/>
      <c r="P6" s="105"/>
      <c r="R6" s="225"/>
      <c r="S6" s="226"/>
      <c r="U6" s="72"/>
      <c r="V6" s="336"/>
      <c r="W6" s="226"/>
      <c r="AA6" s="273"/>
      <c r="AB6" s="37" t="s">
        <v>36</v>
      </c>
      <c r="AC6" s="8"/>
    </row>
    <row r="7" spans="1:29" x14ac:dyDescent="0.2">
      <c r="A7" t="s">
        <v>118</v>
      </c>
      <c r="B7" s="255"/>
      <c r="C7" s="226"/>
      <c r="E7" s="6"/>
      <c r="F7" s="225"/>
      <c r="G7" s="226"/>
      <c r="I7" s="6"/>
      <c r="J7" s="369"/>
      <c r="K7" s="226"/>
      <c r="M7" s="6"/>
      <c r="N7" s="225"/>
      <c r="O7" s="331"/>
      <c r="P7" s="105"/>
      <c r="R7" s="255"/>
      <c r="S7" s="226"/>
      <c r="U7" s="72"/>
      <c r="V7" s="336"/>
      <c r="W7" s="226"/>
      <c r="AA7" s="273"/>
      <c r="AC7" s="8"/>
    </row>
    <row r="8" spans="1:29" s="29" customFormat="1" x14ac:dyDescent="0.2">
      <c r="A8" s="27" t="s">
        <v>33</v>
      </c>
      <c r="B8" s="370">
        <v>1151</v>
      </c>
      <c r="C8" s="314">
        <v>85660.72</v>
      </c>
      <c r="D8" s="89">
        <v>1230</v>
      </c>
      <c r="E8" s="28">
        <v>82104.2</v>
      </c>
      <c r="F8" s="247">
        <v>1260</v>
      </c>
      <c r="G8" s="314">
        <v>75587.69</v>
      </c>
      <c r="H8" s="65">
        <v>1394</v>
      </c>
      <c r="I8" s="28">
        <v>75957.81</v>
      </c>
      <c r="J8" s="418">
        <v>1299</v>
      </c>
      <c r="K8" s="314">
        <v>63882.559999999998</v>
      </c>
      <c r="L8" s="89">
        <v>1208</v>
      </c>
      <c r="M8" s="28">
        <v>58232.62</v>
      </c>
      <c r="N8" s="327">
        <v>1445</v>
      </c>
      <c r="O8" s="332">
        <v>75031.06</v>
      </c>
      <c r="P8" s="104">
        <v>1178</v>
      </c>
      <c r="Q8" s="29">
        <v>57714.85</v>
      </c>
      <c r="R8" s="327">
        <v>1478</v>
      </c>
      <c r="S8" s="314">
        <v>69568.649999999994</v>
      </c>
      <c r="T8" s="89">
        <v>1532</v>
      </c>
      <c r="U8" s="73">
        <v>75358.95</v>
      </c>
      <c r="V8" s="313">
        <v>1606</v>
      </c>
      <c r="W8" s="332">
        <v>76560.31</v>
      </c>
      <c r="X8" s="83">
        <v>1361</v>
      </c>
      <c r="Y8" s="28">
        <v>64029.19</v>
      </c>
      <c r="Z8" s="89">
        <f t="shared" ref="Z8:AA10" si="0">SUM(B8,D8,F8,H8,J8,L8,N8,P8,R8,T8,V8,X8)</f>
        <v>16142</v>
      </c>
      <c r="AA8" s="345">
        <f t="shared" si="0"/>
        <v>859688.60999999987</v>
      </c>
      <c r="AC8" s="19"/>
    </row>
    <row r="9" spans="1:29" x14ac:dyDescent="0.2">
      <c r="A9" t="s">
        <v>42</v>
      </c>
      <c r="B9" s="255">
        <v>3993</v>
      </c>
      <c r="C9" s="262">
        <v>14166.95</v>
      </c>
      <c r="D9" s="90">
        <v>4531</v>
      </c>
      <c r="E9" s="30">
        <v>35382.589999999997</v>
      </c>
      <c r="F9" s="247">
        <v>4525</v>
      </c>
      <c r="G9" s="262">
        <v>91147.83</v>
      </c>
      <c r="H9" s="41">
        <v>4621</v>
      </c>
      <c r="I9" s="30">
        <v>201212.73</v>
      </c>
      <c r="J9" s="372">
        <v>4294</v>
      </c>
      <c r="K9" s="262">
        <v>189778.2</v>
      </c>
      <c r="L9" s="90">
        <v>3550</v>
      </c>
      <c r="M9" s="30">
        <v>128335.46</v>
      </c>
      <c r="N9" s="247">
        <v>4186</v>
      </c>
      <c r="O9" s="331">
        <v>155831.51999999999</v>
      </c>
      <c r="P9" s="105">
        <v>4231</v>
      </c>
      <c r="Q9" s="26">
        <v>137171.97</v>
      </c>
      <c r="R9" s="247">
        <v>4537</v>
      </c>
      <c r="S9" s="262">
        <v>136736.29</v>
      </c>
      <c r="T9" s="90">
        <v>5215</v>
      </c>
      <c r="U9" s="72">
        <v>157723.82</v>
      </c>
      <c r="V9" s="336">
        <v>5383</v>
      </c>
      <c r="W9" s="331">
        <v>163964.72</v>
      </c>
      <c r="X9" s="84">
        <v>4354</v>
      </c>
      <c r="Y9" s="30">
        <v>139590.74</v>
      </c>
      <c r="Z9" s="90">
        <f t="shared" si="0"/>
        <v>53420</v>
      </c>
      <c r="AA9" s="345">
        <f t="shared" si="0"/>
        <v>1551042.82</v>
      </c>
      <c r="AB9" s="26"/>
      <c r="AC9" s="19"/>
    </row>
    <row r="10" spans="1:29" x14ac:dyDescent="0.2">
      <c r="A10" t="s">
        <v>32</v>
      </c>
      <c r="B10" s="365">
        <v>1299</v>
      </c>
      <c r="C10" s="316">
        <v>111410.81</v>
      </c>
      <c r="D10" s="91">
        <v>1437</v>
      </c>
      <c r="E10" s="31">
        <v>108881.83</v>
      </c>
      <c r="F10" s="335">
        <f>668+13+490+122+3+9</f>
        <v>1305</v>
      </c>
      <c r="G10" s="316">
        <f>13069.47+1561.98+52740.93</f>
        <v>67372.38</v>
      </c>
      <c r="H10" s="42">
        <f>628+21+32+12+583+168</f>
        <v>1444</v>
      </c>
      <c r="I10" s="31">
        <f>21389.82+2307.53+34049.08</f>
        <v>57746.43</v>
      </c>
      <c r="J10" s="373">
        <f>601+10+22+9+581+3+2+171</f>
        <v>1399</v>
      </c>
      <c r="K10" s="316">
        <f>16328.74+652.47+87089.85</f>
        <v>104071.06</v>
      </c>
      <c r="L10" s="91">
        <f>285+8+11+15+508+134</f>
        <v>961</v>
      </c>
      <c r="M10" s="31">
        <f>7069.49+733.23+28716.18</f>
        <v>36518.9</v>
      </c>
      <c r="N10" s="335">
        <f>303+1+194+8+500+157</f>
        <v>1163</v>
      </c>
      <c r="O10" s="334">
        <f>8391.72+187.2+70073.33</f>
        <v>78652.25</v>
      </c>
      <c r="P10" s="106">
        <f>286+8+53+7+498+163</f>
        <v>1015</v>
      </c>
      <c r="Q10" s="33">
        <f>6160.12+2437.57+61463.6</f>
        <v>70061.289999999994</v>
      </c>
      <c r="R10" s="335">
        <f>419+8+241+5+663+1+248</f>
        <v>1585</v>
      </c>
      <c r="S10" s="316">
        <f>9329.42+1621.97+101978.8</f>
        <v>112930.19</v>
      </c>
      <c r="T10" s="91">
        <f>416+1+213+14+602+186</f>
        <v>1432</v>
      </c>
      <c r="U10" s="74">
        <f>8878.12+191.1+77120.83</f>
        <v>86190.05</v>
      </c>
      <c r="V10" s="342">
        <f>371+7+172+16+551+186</f>
        <v>1303</v>
      </c>
      <c r="W10" s="316">
        <f>5591.5+2418.36+48220.35</f>
        <v>56230.21</v>
      </c>
      <c r="X10" s="85">
        <f>287+4+281+10+511+167</f>
        <v>1260</v>
      </c>
      <c r="Y10" s="32">
        <f>5047+698.95+66563.53</f>
        <v>72309.48</v>
      </c>
      <c r="Z10" s="91">
        <f t="shared" si="0"/>
        <v>15603</v>
      </c>
      <c r="AA10" s="347">
        <f t="shared" si="0"/>
        <v>962374.88000000012</v>
      </c>
      <c r="AB10" s="33"/>
      <c r="AC10" s="20"/>
    </row>
    <row r="11" spans="1:29" x14ac:dyDescent="0.2">
      <c r="A11" t="s">
        <v>14</v>
      </c>
      <c r="B11" s="255"/>
      <c r="C11" s="319">
        <f>SUM(C8:C10)</f>
        <v>211238.47999999998</v>
      </c>
      <c r="D11" s="89"/>
      <c r="E11" s="29">
        <f>SUM(E8:E10)</f>
        <v>226368.62</v>
      </c>
      <c r="F11" s="327"/>
      <c r="G11" s="319">
        <f>SUM(G8:G10)</f>
        <v>234107.90000000002</v>
      </c>
      <c r="H11" s="40"/>
      <c r="I11" s="29">
        <f>SUM(I8:I10)</f>
        <v>334916.97000000003</v>
      </c>
      <c r="J11" s="371"/>
      <c r="K11" s="319">
        <f>SUM(K8:K10)</f>
        <v>357731.82</v>
      </c>
      <c r="L11" s="89"/>
      <c r="M11" s="29">
        <f>SUM(M8:M10)</f>
        <v>223086.98</v>
      </c>
      <c r="N11" s="327"/>
      <c r="O11" s="319">
        <f>SUM(O8:O10)</f>
        <v>309514.82999999996</v>
      </c>
      <c r="P11" s="89"/>
      <c r="Q11" s="29">
        <f>SUM(Q8:Q10)</f>
        <v>264948.11</v>
      </c>
      <c r="R11" s="324"/>
      <c r="S11" s="319">
        <f>SUM(S8:S10)</f>
        <v>319235.13</v>
      </c>
      <c r="T11" s="89"/>
      <c r="U11" s="75">
        <f>SUM(U8:U10)</f>
        <v>319272.82</v>
      </c>
      <c r="V11" s="327"/>
      <c r="W11" s="319">
        <f>SUM(W8:W10)</f>
        <v>296755.24</v>
      </c>
      <c r="X11" s="83"/>
      <c r="Y11" s="29">
        <f>SUM(Y8:Y10)</f>
        <v>275929.40999999997</v>
      </c>
      <c r="Z11" s="89"/>
      <c r="AA11" s="349">
        <f>SUM(C11,E11,G11,I11,K11,M11,O11,Q11,S11,U11,W11,Y11)</f>
        <v>3373106.3099999996</v>
      </c>
      <c r="AB11" s="63">
        <f>'FY 2006'!$P$11</f>
        <v>3169337.6700000004</v>
      </c>
      <c r="AC11" s="23">
        <f>AA11+AB11</f>
        <v>6542443.9800000004</v>
      </c>
    </row>
    <row r="12" spans="1:29" x14ac:dyDescent="0.2">
      <c r="A12" t="s">
        <v>43</v>
      </c>
      <c r="B12" s="365"/>
      <c r="C12" s="320">
        <v>33333.339999999997</v>
      </c>
      <c r="D12" s="91"/>
      <c r="E12" s="33">
        <v>33333.33</v>
      </c>
      <c r="F12" s="335"/>
      <c r="G12" s="320">
        <v>33333.33</v>
      </c>
      <c r="H12" s="42"/>
      <c r="I12" s="33">
        <v>33333.339999999997</v>
      </c>
      <c r="J12" s="373"/>
      <c r="K12" s="320">
        <v>33333.33</v>
      </c>
      <c r="L12" s="91"/>
      <c r="M12" s="33">
        <v>33333.33</v>
      </c>
      <c r="N12" s="335"/>
      <c r="O12" s="320">
        <v>33333.339999999997</v>
      </c>
      <c r="P12" s="91"/>
      <c r="Q12" s="33">
        <v>33333.33</v>
      </c>
      <c r="R12" s="326"/>
      <c r="S12" s="320">
        <v>33333.33</v>
      </c>
      <c r="T12" s="91"/>
      <c r="U12" s="76">
        <v>33333.339999999997</v>
      </c>
      <c r="V12" s="335"/>
      <c r="W12" s="316">
        <v>33333.33</v>
      </c>
      <c r="X12" s="85"/>
      <c r="Y12" s="31">
        <v>33333.33</v>
      </c>
      <c r="Z12" s="91"/>
      <c r="AA12" s="347">
        <f>SUM(C12,E12,G12,I12,K12,M12,O12,Q12,S12,U12,W12,Y12)</f>
        <v>400000</v>
      </c>
      <c r="AB12" s="18">
        <f>'FY 2006'!$P$12</f>
        <v>599999.74</v>
      </c>
      <c r="AC12" s="20">
        <f>AA12+AB12</f>
        <v>999999.74</v>
      </c>
    </row>
    <row r="13" spans="1:29" x14ac:dyDescent="0.2">
      <c r="A13" t="s">
        <v>0</v>
      </c>
      <c r="B13" s="255"/>
      <c r="C13" s="248">
        <f t="shared" ref="C13:Y13" si="1">SUM(C11:C12)</f>
        <v>244571.81999999998</v>
      </c>
      <c r="D13" s="90"/>
      <c r="E13" s="26">
        <f t="shared" si="1"/>
        <v>259701.95</v>
      </c>
      <c r="F13" s="247"/>
      <c r="G13" s="248">
        <f t="shared" si="1"/>
        <v>267441.23000000004</v>
      </c>
      <c r="H13" s="41"/>
      <c r="I13" s="26">
        <f t="shared" si="1"/>
        <v>368250.31000000006</v>
      </c>
      <c r="J13" s="372"/>
      <c r="K13" s="248">
        <f t="shared" si="1"/>
        <v>391065.15</v>
      </c>
      <c r="L13" s="90"/>
      <c r="M13" s="26">
        <f t="shared" si="1"/>
        <v>256420.31</v>
      </c>
      <c r="N13" s="247"/>
      <c r="O13" s="248">
        <f>SUM(O11:O12)</f>
        <v>342848.16999999993</v>
      </c>
      <c r="Q13" s="26">
        <f t="shared" si="1"/>
        <v>298281.44</v>
      </c>
      <c r="R13" s="328"/>
      <c r="S13" s="248">
        <f t="shared" si="1"/>
        <v>352568.46</v>
      </c>
      <c r="T13" s="90"/>
      <c r="U13" s="77">
        <f t="shared" si="1"/>
        <v>352606.16000000003</v>
      </c>
      <c r="V13" s="247"/>
      <c r="W13" s="262">
        <f t="shared" si="1"/>
        <v>330088.57</v>
      </c>
      <c r="X13" s="84"/>
      <c r="Y13" s="30">
        <f t="shared" si="1"/>
        <v>309262.74</v>
      </c>
      <c r="Z13" s="90"/>
      <c r="AA13" s="345">
        <f>SUM(C13,E13,G13,I13,K13,M13,O13,Q13,S13,U13,W13,Y13)</f>
        <v>3773106.3099999996</v>
      </c>
      <c r="AB13" s="64">
        <f>SUM(AB11:AB12)</f>
        <v>3769337.41</v>
      </c>
      <c r="AC13" s="19">
        <f>AA13+AB13</f>
        <v>7542443.7199999997</v>
      </c>
    </row>
    <row r="14" spans="1:29" x14ac:dyDescent="0.2">
      <c r="B14" s="255"/>
      <c r="C14" s="248"/>
      <c r="D14" s="90"/>
      <c r="E14" s="26"/>
      <c r="F14" s="247"/>
      <c r="G14" s="248"/>
      <c r="H14" s="41"/>
      <c r="J14" s="369"/>
      <c r="K14" s="227"/>
      <c r="N14" s="225"/>
      <c r="O14" s="248"/>
      <c r="R14" s="255"/>
      <c r="S14" s="226"/>
      <c r="U14" s="77"/>
      <c r="V14" s="247"/>
      <c r="W14" s="262"/>
      <c r="X14" s="84"/>
      <c r="AA14" s="273"/>
      <c r="AB14" s="11"/>
      <c r="AC14" s="19"/>
    </row>
    <row r="15" spans="1:29" x14ac:dyDescent="0.2">
      <c r="A15" t="s">
        <v>1</v>
      </c>
      <c r="B15" s="255"/>
      <c r="C15" s="227"/>
      <c r="D15" s="90"/>
      <c r="E15" s="26"/>
      <c r="F15" s="247"/>
      <c r="G15" s="248"/>
      <c r="H15" s="41"/>
      <c r="J15" s="369"/>
      <c r="K15" s="227"/>
      <c r="N15" s="225"/>
      <c r="O15" s="248"/>
      <c r="R15" s="255"/>
      <c r="S15" s="226"/>
      <c r="U15" s="77"/>
      <c r="V15" s="247"/>
      <c r="W15" s="262"/>
      <c r="X15" s="84"/>
      <c r="AA15" s="273"/>
      <c r="AB15" s="11"/>
      <c r="AC15" s="19"/>
    </row>
    <row r="16" spans="1:29" x14ac:dyDescent="0.2">
      <c r="A16" s="4" t="s">
        <v>57</v>
      </c>
      <c r="B16" s="255"/>
      <c r="C16" s="248">
        <v>87174.1</v>
      </c>
      <c r="D16" s="90"/>
      <c r="E16" s="34">
        <v>104053.99</v>
      </c>
      <c r="F16" s="247"/>
      <c r="G16" s="329">
        <v>103462.24</v>
      </c>
      <c r="H16" s="41"/>
      <c r="I16" s="34">
        <v>107941.68</v>
      </c>
      <c r="J16" s="372"/>
      <c r="K16" s="329">
        <v>101548.74</v>
      </c>
      <c r="L16" s="90"/>
      <c r="M16" s="66">
        <v>82979.960000000006</v>
      </c>
      <c r="N16" s="225"/>
      <c r="O16" s="248">
        <v>99946</v>
      </c>
      <c r="Q16" s="26">
        <v>99731.24</v>
      </c>
      <c r="R16" s="328"/>
      <c r="S16" s="262">
        <v>116796.4</v>
      </c>
      <c r="T16" s="90"/>
      <c r="U16" s="78">
        <v>123305.28</v>
      </c>
      <c r="V16" s="247"/>
      <c r="W16" s="262">
        <v>123040.96000000001</v>
      </c>
      <c r="X16" s="84"/>
      <c r="Y16" s="34">
        <v>106719.2</v>
      </c>
      <c r="AA16" s="352">
        <f>SUM(C16:Y16)</f>
        <v>1256699.79</v>
      </c>
      <c r="AB16" s="11">
        <f>'FY 2006'!P16</f>
        <v>1545895.1099999999</v>
      </c>
      <c r="AC16" s="62">
        <f>AA16+AB16</f>
        <v>2802594.9</v>
      </c>
    </row>
    <row r="17" spans="1:32" x14ac:dyDescent="0.2">
      <c r="A17" s="4" t="s">
        <v>34</v>
      </c>
      <c r="B17" s="365"/>
      <c r="C17" s="321">
        <v>36889.199999999997</v>
      </c>
      <c r="D17" s="91"/>
      <c r="E17" s="35">
        <v>24777.08</v>
      </c>
      <c r="F17" s="335"/>
      <c r="G17" s="321">
        <v>22296.720000000001</v>
      </c>
      <c r="H17" s="42"/>
      <c r="I17" s="35">
        <v>23170.52</v>
      </c>
      <c r="J17" s="373"/>
      <c r="K17" s="321">
        <v>18550.2</v>
      </c>
      <c r="L17" s="91"/>
      <c r="M17" s="67">
        <v>14767.62</v>
      </c>
      <c r="N17" s="318"/>
      <c r="O17" s="320">
        <v>17801.099999999999</v>
      </c>
      <c r="P17" s="91"/>
      <c r="Q17" s="33">
        <v>18091.12</v>
      </c>
      <c r="R17" s="326"/>
      <c r="S17" s="316">
        <v>21210</v>
      </c>
      <c r="T17" s="91"/>
      <c r="U17" s="79">
        <v>22404.26</v>
      </c>
      <c r="V17" s="335"/>
      <c r="W17" s="316">
        <v>25950.9</v>
      </c>
      <c r="X17" s="85"/>
      <c r="Y17" s="35">
        <v>22996.48</v>
      </c>
      <c r="Z17" s="91"/>
      <c r="AA17" s="347">
        <f>SUM(C17:Y17)</f>
        <v>268905.2</v>
      </c>
      <c r="AB17" s="18">
        <f>'FY 2006'!P17</f>
        <v>573957.32000000007</v>
      </c>
      <c r="AC17" s="20">
        <f>AA17+AB17</f>
        <v>842862.52</v>
      </c>
    </row>
    <row r="18" spans="1:32" x14ac:dyDescent="0.2">
      <c r="A18" t="s">
        <v>2</v>
      </c>
      <c r="B18" s="255">
        <v>5655</v>
      </c>
      <c r="C18" s="248">
        <f>SUM(C16:C17)</f>
        <v>124063.3</v>
      </c>
      <c r="D18" s="90">
        <v>5883</v>
      </c>
      <c r="E18" s="26">
        <f t="shared" ref="E18:Y18" si="2">SUM(E16:E17)</f>
        <v>128831.07</v>
      </c>
      <c r="F18" s="247">
        <v>5892</v>
      </c>
      <c r="G18" s="248">
        <f t="shared" si="2"/>
        <v>125758.96</v>
      </c>
      <c r="H18" s="41">
        <v>6533</v>
      </c>
      <c r="I18" s="26">
        <f t="shared" si="2"/>
        <v>131112.19999999998</v>
      </c>
      <c r="J18" s="372">
        <v>6147</v>
      </c>
      <c r="K18" s="248">
        <f t="shared" si="2"/>
        <v>120098.94</v>
      </c>
      <c r="L18" s="90">
        <v>5023</v>
      </c>
      <c r="M18" s="26">
        <f t="shared" si="2"/>
        <v>97747.58</v>
      </c>
      <c r="N18" s="247">
        <v>6050</v>
      </c>
      <c r="O18" s="248">
        <f t="shared" si="2"/>
        <v>117747.1</v>
      </c>
      <c r="P18" s="90">
        <v>6037</v>
      </c>
      <c r="Q18" s="26">
        <f t="shared" si="2"/>
        <v>117822.36</v>
      </c>
      <c r="R18" s="247">
        <v>7070</v>
      </c>
      <c r="S18" s="248">
        <f t="shared" si="2"/>
        <v>138006.39999999999</v>
      </c>
      <c r="T18" s="90">
        <v>7468</v>
      </c>
      <c r="U18" s="80">
        <f t="shared" si="2"/>
        <v>145709.54</v>
      </c>
      <c r="V18" s="247">
        <v>7448</v>
      </c>
      <c r="W18" s="262">
        <f t="shared" si="2"/>
        <v>148991.86000000002</v>
      </c>
      <c r="X18" s="84">
        <v>6460</v>
      </c>
      <c r="Y18" s="34">
        <f t="shared" si="2"/>
        <v>129715.68</v>
      </c>
      <c r="Z18" s="90">
        <f>SUM(B18,D18,F18,H18,J18,L18,N18,P18,R18,T18,V18,X18)</f>
        <v>75666</v>
      </c>
      <c r="AA18" s="345">
        <f>SUM(C18,E18,G18,I18,K18,M18,O18,Q18,S18,U18,W18,Y18)</f>
        <v>1525604.99</v>
      </c>
      <c r="AB18" s="11">
        <f>'FY 2006'!P18</f>
        <v>2119852.4300000002</v>
      </c>
      <c r="AC18" s="19">
        <f>AA18+AB18</f>
        <v>3645457.42</v>
      </c>
    </row>
    <row r="19" spans="1:32" x14ac:dyDescent="0.2">
      <c r="B19" s="255"/>
      <c r="C19" s="248"/>
      <c r="D19" s="90"/>
      <c r="E19" s="26"/>
      <c r="F19" s="247"/>
      <c r="G19" s="248"/>
      <c r="H19" s="41"/>
      <c r="I19" s="26"/>
      <c r="J19" s="372"/>
      <c r="K19" s="248"/>
      <c r="L19" s="90"/>
      <c r="M19" s="26"/>
      <c r="N19" s="247"/>
      <c r="O19" s="248"/>
      <c r="R19" s="255"/>
      <c r="S19" s="226"/>
      <c r="U19" s="77"/>
      <c r="V19" s="247"/>
      <c r="W19" s="262"/>
      <c r="X19" s="84"/>
      <c r="AA19" s="273"/>
      <c r="AB19" s="11"/>
      <c r="AC19" s="19"/>
    </row>
    <row r="20" spans="1:32" s="8" customFormat="1" ht="13.5" thickBot="1" x14ac:dyDescent="0.25">
      <c r="A20" s="361" t="s">
        <v>3</v>
      </c>
      <c r="B20" s="376"/>
      <c r="C20" s="159">
        <f t="shared" ref="C20:Y20" si="3">C13-C18</f>
        <v>120508.51999999997</v>
      </c>
      <c r="D20" s="160"/>
      <c r="E20" s="159">
        <f t="shared" si="3"/>
        <v>130870.88</v>
      </c>
      <c r="F20" s="160"/>
      <c r="G20" s="159">
        <f t="shared" si="3"/>
        <v>141682.27000000002</v>
      </c>
      <c r="H20" s="377"/>
      <c r="I20" s="159">
        <f t="shared" si="3"/>
        <v>237138.11000000007</v>
      </c>
      <c r="J20" s="377"/>
      <c r="K20" s="159">
        <f t="shared" si="3"/>
        <v>270966.21000000002</v>
      </c>
      <c r="L20" s="160"/>
      <c r="M20" s="159">
        <f t="shared" si="3"/>
        <v>158672.72999999998</v>
      </c>
      <c r="N20" s="160"/>
      <c r="O20" s="159">
        <f t="shared" si="3"/>
        <v>225101.06999999992</v>
      </c>
      <c r="P20" s="160"/>
      <c r="Q20" s="159">
        <f t="shared" si="3"/>
        <v>180459.08000000002</v>
      </c>
      <c r="R20" s="161"/>
      <c r="S20" s="159">
        <f t="shared" si="3"/>
        <v>214562.06000000003</v>
      </c>
      <c r="T20" s="160"/>
      <c r="U20" s="162">
        <f t="shared" si="3"/>
        <v>206896.62000000002</v>
      </c>
      <c r="V20" s="160"/>
      <c r="W20" s="159">
        <f t="shared" si="3"/>
        <v>181096.71</v>
      </c>
      <c r="X20" s="420"/>
      <c r="Y20" s="159">
        <f t="shared" si="3"/>
        <v>179547.06</v>
      </c>
      <c r="Z20" s="160"/>
      <c r="AA20" s="163">
        <f>SUM(AA13-AA18)</f>
        <v>2247501.3199999994</v>
      </c>
      <c r="AB20" s="59">
        <f>SUM(AB13-AB18)</f>
        <v>1649484.98</v>
      </c>
      <c r="AC20" s="59">
        <f>AA20+AB20</f>
        <v>3896986.2999999993</v>
      </c>
      <c r="AD20" s="60"/>
      <c r="AE20" s="60"/>
      <c r="AF20" s="60"/>
    </row>
    <row r="21" spans="1:32" x14ac:dyDescent="0.2">
      <c r="B21" s="255"/>
      <c r="C21" s="227"/>
      <c r="F21" s="225"/>
      <c r="G21" s="227"/>
      <c r="J21" s="369"/>
      <c r="K21" s="227"/>
      <c r="N21" s="225"/>
      <c r="O21" s="248"/>
      <c r="R21" s="255"/>
      <c r="S21" s="226"/>
      <c r="V21" s="225"/>
      <c r="W21" s="226"/>
      <c r="AA21" s="273"/>
    </row>
    <row r="22" spans="1:32" x14ac:dyDescent="0.2">
      <c r="B22" s="255"/>
      <c r="C22" s="227"/>
      <c r="F22" s="225"/>
      <c r="G22" s="227"/>
      <c r="J22" s="369"/>
      <c r="K22" s="227"/>
      <c r="N22" s="225"/>
      <c r="O22" s="248"/>
      <c r="R22" s="255"/>
      <c r="S22" s="226"/>
      <c r="V22" s="225"/>
      <c r="W22" s="226"/>
      <c r="AA22" s="273"/>
    </row>
    <row r="23" spans="1:32" x14ac:dyDescent="0.2">
      <c r="A23" s="45" t="s">
        <v>39</v>
      </c>
      <c r="B23" s="255"/>
      <c r="C23" s="227"/>
      <c r="F23" s="225"/>
      <c r="G23" s="227"/>
      <c r="J23" s="369"/>
      <c r="K23" s="227"/>
      <c r="N23" s="225"/>
      <c r="O23" s="248"/>
      <c r="R23" s="255"/>
      <c r="S23" s="226"/>
      <c r="V23" s="225"/>
      <c r="W23" s="226"/>
      <c r="AA23" s="273"/>
    </row>
    <row r="24" spans="1:32" x14ac:dyDescent="0.2">
      <c r="A24" s="46" t="s">
        <v>40</v>
      </c>
      <c r="B24" s="365">
        <v>123</v>
      </c>
      <c r="C24" s="358"/>
      <c r="D24" s="92">
        <v>102</v>
      </c>
      <c r="E24" s="49"/>
      <c r="F24" s="318">
        <v>37</v>
      </c>
      <c r="G24" s="358"/>
      <c r="H24" s="48">
        <v>67</v>
      </c>
      <c r="I24" s="49"/>
      <c r="J24" s="374">
        <v>108</v>
      </c>
      <c r="K24" s="358"/>
      <c r="L24" s="92">
        <v>70</v>
      </c>
      <c r="M24" s="49"/>
      <c r="N24" s="318">
        <v>73</v>
      </c>
      <c r="O24" s="320"/>
      <c r="P24" s="91">
        <v>75</v>
      </c>
      <c r="Q24" s="49"/>
      <c r="R24" s="318">
        <v>102</v>
      </c>
      <c r="S24" s="367"/>
      <c r="T24" s="92">
        <v>44</v>
      </c>
      <c r="U24" s="58"/>
      <c r="V24" s="318">
        <v>63</v>
      </c>
      <c r="W24" s="367"/>
      <c r="X24" s="82">
        <v>73</v>
      </c>
      <c r="Y24" s="48"/>
      <c r="Z24" s="92">
        <f>SUM(B24,D24,F24,H24,J24,L24,N24,P24,R24,T24,V24,X24)</f>
        <v>937</v>
      </c>
      <c r="AA24" s="362"/>
      <c r="AB24" s="47"/>
      <c r="AC24" s="47"/>
    </row>
    <row r="25" spans="1:32" x14ac:dyDescent="0.2">
      <c r="B25" s="359">
        <f>B24/B8</f>
        <v>0.10686359687228497</v>
      </c>
      <c r="C25" s="227"/>
      <c r="D25" s="139">
        <f>D24/D8</f>
        <v>8.2926829268292687E-2</v>
      </c>
      <c r="F25" s="359">
        <f>F24/F8</f>
        <v>2.9365079365079365E-2</v>
      </c>
      <c r="G25" s="227"/>
      <c r="H25" s="139">
        <f>H24/H8</f>
        <v>4.8063127690100432E-2</v>
      </c>
      <c r="J25" s="359">
        <f>J24/J8</f>
        <v>8.3140877598152418E-2</v>
      </c>
      <c r="K25" s="227"/>
      <c r="L25" s="139">
        <f>L24/L8</f>
        <v>5.7947019867549666E-2</v>
      </c>
      <c r="N25" s="359">
        <f>N24/N8</f>
        <v>5.0519031141868509E-2</v>
      </c>
      <c r="O25" s="227"/>
      <c r="P25" s="139">
        <f>P24/P8</f>
        <v>6.3667232597623094E-2</v>
      </c>
      <c r="R25" s="359">
        <f>R24/R8</f>
        <v>6.9012178619756434E-2</v>
      </c>
      <c r="S25" s="227"/>
      <c r="T25" s="139">
        <f>T24/T8</f>
        <v>2.8720626631853787E-2</v>
      </c>
      <c r="U25"/>
      <c r="V25" s="359">
        <f>V24/V8</f>
        <v>3.9227895392278951E-2</v>
      </c>
      <c r="W25" s="227"/>
      <c r="X25" s="139">
        <f>X24/X8</f>
        <v>5.3637031594415872E-2</v>
      </c>
      <c r="Y25"/>
      <c r="Z25" s="139">
        <f>Z24/Z8</f>
        <v>5.8047329946722834E-2</v>
      </c>
      <c r="AA25" s="273"/>
    </row>
    <row r="26" spans="1:32" x14ac:dyDescent="0.2">
      <c r="B26" s="255"/>
      <c r="C26" s="227"/>
      <c r="F26" s="225"/>
      <c r="G26" s="227"/>
      <c r="H26" s="6"/>
      <c r="J26" s="226"/>
      <c r="K26" s="227"/>
      <c r="N26" s="225"/>
      <c r="O26" s="248"/>
      <c r="P26" s="88"/>
      <c r="R26" s="225"/>
      <c r="S26" s="226"/>
      <c r="V26" s="225"/>
      <c r="W26" s="226"/>
      <c r="AA26" s="273"/>
    </row>
    <row r="27" spans="1:32" x14ac:dyDescent="0.2">
      <c r="A27" t="s">
        <v>37</v>
      </c>
      <c r="B27" s="365">
        <f>SUM(B8,B9,B10,B24)</f>
        <v>6566</v>
      </c>
      <c r="C27" s="322">
        <v>1875777.16</v>
      </c>
      <c r="D27" s="92">
        <f>SUM(D8,D9,D10,D24)</f>
        <v>7300</v>
      </c>
      <c r="E27" s="57">
        <v>2211303.38</v>
      </c>
      <c r="F27" s="318">
        <f>SUM(F8,F9,F10,F24)</f>
        <v>7127</v>
      </c>
      <c r="G27" s="322">
        <v>1980460.47</v>
      </c>
      <c r="H27" s="53">
        <f>SUM(H8,H9,H10,H24)</f>
        <v>7526</v>
      </c>
      <c r="I27" s="57">
        <v>2075741.47</v>
      </c>
      <c r="J27" s="419">
        <f>SUM(J8,J9,J10,J24)</f>
        <v>7100</v>
      </c>
      <c r="K27" s="322">
        <v>2023935.39</v>
      </c>
      <c r="L27" s="92">
        <f>SUM(L8,L9,L10,L24)</f>
        <v>5789</v>
      </c>
      <c r="M27" s="57">
        <v>1626342.37</v>
      </c>
      <c r="N27" s="318">
        <f>SUM(N8,N9,N10,N24)</f>
        <v>6867</v>
      </c>
      <c r="O27" s="366">
        <v>1736622.94</v>
      </c>
      <c r="P27" s="92">
        <f>SUM(P8,P9,P10,P24)</f>
        <v>6499</v>
      </c>
      <c r="Q27" s="57">
        <v>1674424.87</v>
      </c>
      <c r="R27" s="318">
        <f>SUM(R8,R9,R10,R24)</f>
        <v>7702</v>
      </c>
      <c r="S27" s="339">
        <v>2041264.9</v>
      </c>
      <c r="T27" s="92">
        <f>SUM(T8,T9,T10,T24)</f>
        <v>8223</v>
      </c>
      <c r="U27" s="58">
        <v>1996998.89</v>
      </c>
      <c r="V27" s="318">
        <f>SUM(V8,V9,V10,V24)</f>
        <v>8355</v>
      </c>
      <c r="W27" s="368">
        <v>2072624.07</v>
      </c>
      <c r="X27" s="82">
        <f>SUM(X8,X9,X10,X24)</f>
        <v>7048</v>
      </c>
      <c r="Y27" s="48">
        <v>1786995.24</v>
      </c>
      <c r="Z27" s="92">
        <f>SUM(B27,D27,F27,H27,J27,L27,N27,P27,R27,T27,V27,X27)</f>
        <v>86102</v>
      </c>
      <c r="AA27" s="355">
        <f>SUM(C27,E27,G27,I27,K27,M27,O27,Q27,S27,U27,W27,Y27)</f>
        <v>23102491.149999995</v>
      </c>
      <c r="AB27" s="47"/>
      <c r="AC27" s="47"/>
    </row>
    <row r="28" spans="1:32" x14ac:dyDescent="0.2">
      <c r="A28" s="46" t="s">
        <v>48</v>
      </c>
      <c r="B28" s="255"/>
      <c r="C28" s="323">
        <f>C20/C27</f>
        <v>6.4244582229586372E-2</v>
      </c>
      <c r="E28" s="50">
        <f>E20/E27</f>
        <v>5.9182688899069115E-2</v>
      </c>
      <c r="F28" s="225"/>
      <c r="G28" s="323">
        <f>G20/G27</f>
        <v>7.1540064619416519E-2</v>
      </c>
      <c r="I28" s="50">
        <f>I20/I27</f>
        <v>0.11424260363213733</v>
      </c>
      <c r="J28" s="369"/>
      <c r="K28" s="323">
        <f>K20/K27</f>
        <v>0.13388085970471619</v>
      </c>
      <c r="M28" s="50">
        <f>M20/M27</f>
        <v>9.7564161720757464E-2</v>
      </c>
      <c r="N28" s="225"/>
      <c r="O28" s="323">
        <f>O20/O27</f>
        <v>0.12962000260114032</v>
      </c>
      <c r="Q28" s="50">
        <f>Q20/Q27</f>
        <v>0.10777376950928828</v>
      </c>
      <c r="R28" s="255"/>
      <c r="S28" s="340">
        <f>S20/S27</f>
        <v>0.10511230561011461</v>
      </c>
      <c r="U28" s="70">
        <f>U20/U27</f>
        <v>0.10360377315983388</v>
      </c>
      <c r="V28" s="225"/>
      <c r="W28" s="340">
        <f>W20/W27</f>
        <v>8.7375570235464842E-2</v>
      </c>
      <c r="Y28" s="50">
        <f>Y20/Y27</f>
        <v>0.10047427994268188</v>
      </c>
      <c r="AA28" s="356">
        <f>AA20/AA27</f>
        <v>9.728393814361444E-2</v>
      </c>
    </row>
    <row r="30" spans="1:32" x14ac:dyDescent="0.2">
      <c r="B30" s="102"/>
      <c r="C30" s="55"/>
      <c r="D30" s="103"/>
      <c r="E30" s="55"/>
      <c r="F30" s="103"/>
      <c r="G30" s="55"/>
      <c r="H30" s="56"/>
      <c r="I30" s="55"/>
      <c r="J30" s="43"/>
      <c r="K30" s="7"/>
      <c r="L30" s="94"/>
      <c r="M30" s="7"/>
      <c r="N30" s="94"/>
    </row>
    <row r="31" spans="1:32" x14ac:dyDescent="0.2">
      <c r="A31" s="61" t="s">
        <v>45</v>
      </c>
    </row>
    <row r="32" spans="1:32" x14ac:dyDescent="0.2">
      <c r="A32" s="55" t="s">
        <v>44</v>
      </c>
    </row>
    <row r="35" spans="5:27" x14ac:dyDescent="0.2">
      <c r="E35" s="51"/>
    </row>
    <row r="36" spans="5:27" x14ac:dyDescent="0.2">
      <c r="AA36" s="38"/>
    </row>
  </sheetData>
  <phoneticPr fontId="0" type="noConversion"/>
  <pageMargins left="0.17" right="0.16" top="1" bottom="1" header="0.5" footer="0.5"/>
  <pageSetup scale="52" orientation="landscape" r:id="rId1"/>
  <headerFooter alignWithMargins="0">
    <oddFooter xml:space="preserve">&amp;L&amp;F&amp;CFY 07 Calculated Savings
Medicaid&amp;RPrepared by Sunny Israelson
&amp;D
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opLeftCell="A3" zoomScaleNormal="100" workbookViewId="0">
      <pane xSplit="4" ySplit="18" topLeftCell="E2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" width="32" customWidth="1"/>
    <col min="2" max="2" width="13.5703125" customWidth="1"/>
    <col min="3" max="3" width="12.140625" customWidth="1"/>
    <col min="4" max="4" width="12.5703125" customWidth="1"/>
    <col min="5" max="5" width="12.140625" customWidth="1"/>
    <col min="6" max="6" width="11.42578125" customWidth="1"/>
    <col min="7" max="7" width="11.28515625" customWidth="1"/>
    <col min="8" max="8" width="11.85546875" style="1" customWidth="1"/>
    <col min="9" max="9" width="10.7109375" customWidth="1"/>
    <col min="10" max="10" width="12" style="6" customWidth="1"/>
    <col min="11" max="11" width="12.28515625" style="6" bestFit="1" customWidth="1"/>
    <col min="12" max="12" width="10.5703125" style="6" customWidth="1"/>
    <col min="13" max="13" width="12" style="6" bestFit="1" customWidth="1"/>
    <col min="14" max="14" width="12.5703125" style="6" customWidth="1"/>
    <col min="15" max="15" width="14.85546875" customWidth="1"/>
    <col min="16" max="16" width="13.42578125" bestFit="1" customWidth="1"/>
  </cols>
  <sheetData>
    <row r="1" spans="1:27" ht="21.75" x14ac:dyDescent="0.3">
      <c r="A1" s="9" t="s">
        <v>13</v>
      </c>
      <c r="B1" s="9"/>
      <c r="C1" s="9"/>
      <c r="D1" s="9"/>
      <c r="E1" s="9"/>
      <c r="F1" s="9"/>
      <c r="G1" s="9"/>
    </row>
    <row r="3" spans="1:27" ht="18" x14ac:dyDescent="0.25">
      <c r="A3" s="152" t="s">
        <v>132</v>
      </c>
      <c r="B3" s="88"/>
      <c r="D3" s="88"/>
      <c r="F3" s="88"/>
      <c r="H3" s="96"/>
      <c r="J3" s="96"/>
      <c r="K3"/>
      <c r="L3" s="88"/>
      <c r="M3"/>
      <c r="N3" s="88"/>
      <c r="O3" s="26"/>
      <c r="P3" s="90"/>
      <c r="R3" s="96"/>
      <c r="S3" s="6"/>
      <c r="T3" s="88"/>
      <c r="U3" s="71"/>
      <c r="V3" s="88"/>
      <c r="W3" s="6"/>
      <c r="X3" s="88"/>
      <c r="Y3" s="6"/>
      <c r="Z3" s="88"/>
      <c r="AA3" s="6"/>
    </row>
    <row r="5" spans="1:27" x14ac:dyDescent="0.2">
      <c r="B5" s="226" t="s">
        <v>21</v>
      </c>
      <c r="C5" s="6" t="s">
        <v>22</v>
      </c>
      <c r="D5" s="226" t="s">
        <v>23</v>
      </c>
      <c r="E5" s="6" t="s">
        <v>24</v>
      </c>
      <c r="F5" s="226" t="s">
        <v>25</v>
      </c>
      <c r="G5" s="6" t="s">
        <v>20</v>
      </c>
      <c r="H5" s="421" t="s">
        <v>4</v>
      </c>
      <c r="I5" t="s">
        <v>5</v>
      </c>
      <c r="J5" s="226" t="s">
        <v>6</v>
      </c>
      <c r="K5" s="5" t="s">
        <v>7</v>
      </c>
      <c r="L5" s="226" t="s">
        <v>8</v>
      </c>
      <c r="M5" s="6" t="s">
        <v>9</v>
      </c>
      <c r="N5" s="433" t="s">
        <v>29</v>
      </c>
      <c r="O5" s="86" t="s">
        <v>27</v>
      </c>
      <c r="P5" s="8" t="s">
        <v>26</v>
      </c>
    </row>
    <row r="6" spans="1:27" x14ac:dyDescent="0.2">
      <c r="B6" s="226"/>
      <c r="C6" s="6"/>
      <c r="D6" s="226"/>
      <c r="E6" s="6"/>
      <c r="F6" s="226"/>
      <c r="G6" s="6"/>
      <c r="H6" s="421"/>
      <c r="J6" s="226"/>
      <c r="K6" s="5"/>
      <c r="L6" s="226"/>
      <c r="N6" s="273"/>
      <c r="P6" s="8"/>
    </row>
    <row r="7" spans="1:27" x14ac:dyDescent="0.2">
      <c r="A7" t="s">
        <v>30</v>
      </c>
      <c r="B7" s="226"/>
      <c r="C7" s="6"/>
      <c r="D7" s="226"/>
      <c r="E7" s="6"/>
      <c r="F7" s="226"/>
      <c r="G7" s="6"/>
      <c r="H7" s="421"/>
      <c r="J7" s="226"/>
      <c r="K7" s="5"/>
      <c r="L7" s="226"/>
      <c r="N7" s="273"/>
      <c r="P7" s="8"/>
    </row>
    <row r="8" spans="1:27" s="21" customFormat="1" x14ac:dyDescent="0.2">
      <c r="A8" s="21" t="s">
        <v>33</v>
      </c>
      <c r="B8" s="429">
        <v>63509.35</v>
      </c>
      <c r="C8" s="22">
        <v>88179.05</v>
      </c>
      <c r="D8" s="429">
        <v>89255.96</v>
      </c>
      <c r="E8" s="22">
        <v>80713.759999999995</v>
      </c>
      <c r="F8" s="429">
        <v>64687.46</v>
      </c>
      <c r="G8" s="22">
        <v>66883.789999999994</v>
      </c>
      <c r="H8" s="429">
        <v>68013.86</v>
      </c>
      <c r="I8" s="21">
        <v>68142.03</v>
      </c>
      <c r="J8" s="429">
        <v>77245.649999999994</v>
      </c>
      <c r="K8" s="22">
        <v>71784.2</v>
      </c>
      <c r="L8" s="429">
        <v>83041.5</v>
      </c>
      <c r="M8" s="22">
        <v>97142.62</v>
      </c>
      <c r="N8" s="345">
        <f>SUM(B8:M8)</f>
        <v>918599.23</v>
      </c>
      <c r="P8" s="19"/>
    </row>
    <row r="9" spans="1:27" x14ac:dyDescent="0.2">
      <c r="A9" t="s">
        <v>31</v>
      </c>
      <c r="B9" s="421"/>
      <c r="C9" s="5"/>
      <c r="D9" s="421"/>
      <c r="E9" s="5">
        <v>13248.55</v>
      </c>
      <c r="F9" s="421">
        <v>23717.79</v>
      </c>
      <c r="G9" s="5">
        <v>22117</v>
      </c>
      <c r="H9" s="421">
        <v>28038.32</v>
      </c>
      <c r="I9" s="1">
        <v>22442.31</v>
      </c>
      <c r="J9" s="421">
        <v>213595.32</v>
      </c>
      <c r="K9" s="5">
        <v>206374.53</v>
      </c>
      <c r="L9" s="421">
        <v>63807.57</v>
      </c>
      <c r="M9" s="5">
        <v>108440.6</v>
      </c>
      <c r="N9" s="345">
        <f>SUM(B9:M9)</f>
        <v>701781.99</v>
      </c>
      <c r="O9" s="1"/>
      <c r="P9" s="19"/>
    </row>
    <row r="10" spans="1:27" x14ac:dyDescent="0.2">
      <c r="A10" t="s">
        <v>32</v>
      </c>
      <c r="B10" s="338">
        <f>1249.32+23041.47+32292.56</f>
        <v>56583.350000000006</v>
      </c>
      <c r="C10" s="10">
        <v>58432.85</v>
      </c>
      <c r="D10" s="338">
        <f>874.52+1251.86+414.39+26318.8</f>
        <v>28859.57</v>
      </c>
      <c r="E10" s="10">
        <v>13706.03</v>
      </c>
      <c r="F10" s="338">
        <f>520+26247.75</f>
        <v>26767.75</v>
      </c>
      <c r="G10" s="10">
        <v>24586.94</v>
      </c>
      <c r="H10" s="338">
        <v>41285</v>
      </c>
      <c r="I10" s="2">
        <v>38172.81</v>
      </c>
      <c r="J10" s="338">
        <f>2175.45+73448.31</f>
        <v>75623.759999999995</v>
      </c>
      <c r="K10" s="10">
        <f>560.7+66363.88</f>
        <v>66924.58</v>
      </c>
      <c r="L10" s="338">
        <v>47796.42</v>
      </c>
      <c r="M10" s="10">
        <v>66694.649999999994</v>
      </c>
      <c r="N10" s="347">
        <f>SUM(B10:M10)</f>
        <v>545433.71000000008</v>
      </c>
      <c r="O10" s="2"/>
      <c r="P10" s="20"/>
    </row>
    <row r="11" spans="1:27" x14ac:dyDescent="0.2">
      <c r="A11" t="s">
        <v>14</v>
      </c>
      <c r="B11" s="430">
        <f>SUM(B8:B10)</f>
        <v>120092.70000000001</v>
      </c>
      <c r="C11" s="21">
        <f t="shared" ref="C11:N11" si="0">SUM(C8:C10)</f>
        <v>146611.9</v>
      </c>
      <c r="D11" s="430">
        <f t="shared" si="0"/>
        <v>118115.53</v>
      </c>
      <c r="E11" s="21">
        <f t="shared" si="0"/>
        <v>107668.34</v>
      </c>
      <c r="F11" s="430">
        <f t="shared" si="0"/>
        <v>115173</v>
      </c>
      <c r="G11" s="21">
        <f t="shared" si="0"/>
        <v>113587.73</v>
      </c>
      <c r="H11" s="430">
        <f t="shared" si="0"/>
        <v>137337.18</v>
      </c>
      <c r="I11" s="21">
        <f t="shared" si="0"/>
        <v>128757.15</v>
      </c>
      <c r="J11" s="430">
        <f t="shared" si="0"/>
        <v>366464.73</v>
      </c>
      <c r="K11" s="21">
        <f t="shared" si="0"/>
        <v>345083.31</v>
      </c>
      <c r="L11" s="430">
        <f t="shared" si="0"/>
        <v>194645.49</v>
      </c>
      <c r="M11" s="21">
        <f t="shared" si="0"/>
        <v>272277.87</v>
      </c>
      <c r="N11" s="434">
        <f t="shared" si="0"/>
        <v>2165814.9300000002</v>
      </c>
      <c r="O11" s="21">
        <f>'FY 2005'!H6</f>
        <v>1003522.7400000001</v>
      </c>
      <c r="P11" s="23">
        <f t="shared" ref="P11:P20" si="1">N11+O11</f>
        <v>3169337.6700000004</v>
      </c>
    </row>
    <row r="12" spans="1:27" x14ac:dyDescent="0.2">
      <c r="A12" t="s">
        <v>15</v>
      </c>
      <c r="B12" s="423">
        <f t="shared" ref="B12:G12" si="2">400000/12</f>
        <v>33333.333333333336</v>
      </c>
      <c r="C12" s="2">
        <f t="shared" si="2"/>
        <v>33333.333333333336</v>
      </c>
      <c r="D12" s="423">
        <f t="shared" si="2"/>
        <v>33333.333333333336</v>
      </c>
      <c r="E12" s="2">
        <f t="shared" si="2"/>
        <v>33333.333333333336</v>
      </c>
      <c r="F12" s="423">
        <f t="shared" si="2"/>
        <v>33333.333333333336</v>
      </c>
      <c r="G12" s="2">
        <f t="shared" si="2"/>
        <v>33333.333333333336</v>
      </c>
      <c r="H12" s="423">
        <v>33333</v>
      </c>
      <c r="I12" s="2">
        <v>33333.449999999997</v>
      </c>
      <c r="J12" s="423">
        <v>33333.449999999997</v>
      </c>
      <c r="K12" s="10">
        <v>33333.449999999997</v>
      </c>
      <c r="L12" s="338">
        <v>33333.449999999997</v>
      </c>
      <c r="M12" s="10">
        <v>33333.339999999997</v>
      </c>
      <c r="N12" s="347">
        <f>SUM(B12:M12)</f>
        <v>400000.14</v>
      </c>
      <c r="O12" s="18">
        <f>'FY 2005'!H7</f>
        <v>199999.60000000003</v>
      </c>
      <c r="P12" s="20">
        <f t="shared" si="1"/>
        <v>599999.74</v>
      </c>
    </row>
    <row r="13" spans="1:27" x14ac:dyDescent="0.2">
      <c r="A13" t="s">
        <v>0</v>
      </c>
      <c r="B13" s="422">
        <f t="shared" ref="B13:G13" si="3">SUM(B11:B12)</f>
        <v>153426.03333333335</v>
      </c>
      <c r="C13" s="1">
        <f t="shared" si="3"/>
        <v>179945.23333333334</v>
      </c>
      <c r="D13" s="422">
        <f t="shared" si="3"/>
        <v>151448.86333333334</v>
      </c>
      <c r="E13" s="1">
        <f t="shared" si="3"/>
        <v>141001.67333333334</v>
      </c>
      <c r="F13" s="422">
        <f t="shared" si="3"/>
        <v>148506.33333333334</v>
      </c>
      <c r="G13" s="1">
        <f t="shared" si="3"/>
        <v>146921.06333333332</v>
      </c>
      <c r="H13" s="422">
        <f t="shared" ref="H13:M13" si="4">SUM(H11:H12)</f>
        <v>170670.18</v>
      </c>
      <c r="I13" s="1">
        <f t="shared" si="4"/>
        <v>162090.59999999998</v>
      </c>
      <c r="J13" s="422">
        <f t="shared" si="4"/>
        <v>399798.18</v>
      </c>
      <c r="K13" s="5">
        <f t="shared" si="4"/>
        <v>378416.76</v>
      </c>
      <c r="L13" s="421">
        <f t="shared" si="4"/>
        <v>227978.94</v>
      </c>
      <c r="M13" s="5">
        <f t="shared" si="4"/>
        <v>305611.20999999996</v>
      </c>
      <c r="N13" s="345">
        <f>SUM(B13:M13)</f>
        <v>2565815.0699999998</v>
      </c>
      <c r="O13" s="11">
        <f>'FY 2005'!H8</f>
        <v>1203522.3399999999</v>
      </c>
      <c r="P13" s="19">
        <f t="shared" si="1"/>
        <v>3769337.4099999997</v>
      </c>
    </row>
    <row r="14" spans="1:27" x14ac:dyDescent="0.2">
      <c r="B14" s="422"/>
      <c r="C14" s="1"/>
      <c r="D14" s="422"/>
      <c r="F14" s="227"/>
      <c r="H14" s="422"/>
      <c r="J14" s="226"/>
      <c r="K14" s="5"/>
      <c r="L14" s="421"/>
      <c r="N14" s="273"/>
      <c r="O14" s="11"/>
      <c r="P14" s="19"/>
    </row>
    <row r="15" spans="1:27" x14ac:dyDescent="0.2">
      <c r="A15" t="s">
        <v>1</v>
      </c>
      <c r="B15" s="422"/>
      <c r="C15" s="1"/>
      <c r="D15" s="422"/>
      <c r="F15" s="227"/>
      <c r="H15" s="422"/>
      <c r="J15" s="226"/>
      <c r="K15" s="5"/>
      <c r="L15" s="421"/>
      <c r="N15" s="273"/>
      <c r="O15" s="11"/>
      <c r="P15" s="19"/>
    </row>
    <row r="16" spans="1:27" x14ac:dyDescent="0.2">
      <c r="A16" s="4" t="s">
        <v>57</v>
      </c>
      <c r="B16" s="431">
        <v>74018</v>
      </c>
      <c r="C16" s="16">
        <v>87556</v>
      </c>
      <c r="D16" s="431">
        <v>84420</v>
      </c>
      <c r="E16" s="16">
        <v>82936</v>
      </c>
      <c r="F16" s="431">
        <v>81648</v>
      </c>
      <c r="G16" s="24">
        <v>76804</v>
      </c>
      <c r="H16" s="422">
        <v>81837.88</v>
      </c>
      <c r="I16" s="1">
        <v>79046.740000000005</v>
      </c>
      <c r="J16" s="421">
        <v>96318.61</v>
      </c>
      <c r="K16" s="14">
        <v>90270.46</v>
      </c>
      <c r="L16" s="421">
        <v>101459.82</v>
      </c>
      <c r="M16" s="16">
        <v>93847.6</v>
      </c>
      <c r="N16" s="345">
        <f>SUM(B16:M16)</f>
        <v>1030163.11</v>
      </c>
      <c r="O16" s="11">
        <f>'FY 2005'!H11</f>
        <v>515732</v>
      </c>
      <c r="P16" s="19">
        <f t="shared" si="1"/>
        <v>1545895.1099999999</v>
      </c>
    </row>
    <row r="17" spans="1:16" x14ac:dyDescent="0.2">
      <c r="A17" s="4" t="s">
        <v>34</v>
      </c>
      <c r="B17" s="432">
        <v>20098</v>
      </c>
      <c r="C17" s="17">
        <v>23040</v>
      </c>
      <c r="D17" s="432">
        <v>22449</v>
      </c>
      <c r="E17" s="17">
        <v>23654</v>
      </c>
      <c r="F17" s="432">
        <v>23209</v>
      </c>
      <c r="G17" s="25">
        <v>21813</v>
      </c>
      <c r="H17" s="423">
        <v>23007.8</v>
      </c>
      <c r="I17" s="2">
        <v>32574.6</v>
      </c>
      <c r="J17" s="338">
        <v>40975.599999999999</v>
      </c>
      <c r="K17" s="15">
        <v>38415.26</v>
      </c>
      <c r="L17" s="338">
        <v>43545.78</v>
      </c>
      <c r="M17" s="17">
        <v>40342.28</v>
      </c>
      <c r="N17" s="347">
        <f>SUM(B17:M17)</f>
        <v>353124.32000000007</v>
      </c>
      <c r="O17" s="18">
        <f>'FY 2005'!H12</f>
        <v>220833</v>
      </c>
      <c r="P17" s="20">
        <f t="shared" si="1"/>
        <v>573957.32000000007</v>
      </c>
    </row>
    <row r="18" spans="1:16" x14ac:dyDescent="0.2">
      <c r="A18" t="s">
        <v>2</v>
      </c>
      <c r="B18" s="422">
        <f t="shared" ref="B18:G18" si="5">SUM(B16:B17)</f>
        <v>94116</v>
      </c>
      <c r="C18" s="1">
        <f t="shared" si="5"/>
        <v>110596</v>
      </c>
      <c r="D18" s="422">
        <f t="shared" si="5"/>
        <v>106869</v>
      </c>
      <c r="E18" s="1">
        <f t="shared" si="5"/>
        <v>106590</v>
      </c>
      <c r="F18" s="422">
        <f t="shared" si="5"/>
        <v>104857</v>
      </c>
      <c r="G18" s="1">
        <f t="shared" si="5"/>
        <v>98617</v>
      </c>
      <c r="H18" s="422">
        <f t="shared" ref="H18:M18" si="6">SUM(H16:H17)</f>
        <v>104845.68000000001</v>
      </c>
      <c r="I18" s="1">
        <f t="shared" si="6"/>
        <v>111621.34</v>
      </c>
      <c r="J18" s="422">
        <f t="shared" si="6"/>
        <v>137294.21</v>
      </c>
      <c r="K18" s="1">
        <f t="shared" si="6"/>
        <v>128685.72</v>
      </c>
      <c r="L18" s="421">
        <f t="shared" si="6"/>
        <v>145005.6</v>
      </c>
      <c r="M18" s="16">
        <f t="shared" si="6"/>
        <v>134189.88</v>
      </c>
      <c r="N18" s="345">
        <f>SUM(B18:M18)</f>
        <v>1383287.4300000002</v>
      </c>
      <c r="O18" s="11">
        <f>'FY 2005'!H13</f>
        <v>736565</v>
      </c>
      <c r="P18" s="19">
        <f t="shared" si="1"/>
        <v>2119852.4300000002</v>
      </c>
    </row>
    <row r="19" spans="1:16" x14ac:dyDescent="0.2">
      <c r="B19" s="422"/>
      <c r="C19" s="1"/>
      <c r="D19" s="422"/>
      <c r="E19" s="1"/>
      <c r="F19" s="422"/>
      <c r="G19" s="1"/>
      <c r="H19" s="422"/>
      <c r="J19" s="226"/>
      <c r="K19" s="5"/>
      <c r="L19" s="421"/>
      <c r="N19" s="273"/>
      <c r="O19" s="11"/>
      <c r="P19" s="19"/>
    </row>
    <row r="20" spans="1:16" s="8" customFormat="1" x14ac:dyDescent="0.2">
      <c r="A20" s="424" t="s">
        <v>3</v>
      </c>
      <c r="B20" s="435">
        <f t="shared" ref="B20:G20" si="7">B13-B18</f>
        <v>59310.033333333355</v>
      </c>
      <c r="C20" s="435">
        <f t="shared" si="7"/>
        <v>69349.233333333337</v>
      </c>
      <c r="D20" s="435">
        <f t="shared" si="7"/>
        <v>44579.863333333342</v>
      </c>
      <c r="E20" s="435">
        <f t="shared" si="7"/>
        <v>34411.67333333334</v>
      </c>
      <c r="F20" s="435">
        <f t="shared" si="7"/>
        <v>43649.333333333343</v>
      </c>
      <c r="G20" s="435">
        <f t="shared" si="7"/>
        <v>48304.063333333324</v>
      </c>
      <c r="H20" s="435">
        <f t="shared" ref="H20:M20" si="8">H13-H18</f>
        <v>65824.499999999985</v>
      </c>
      <c r="I20" s="435">
        <f t="shared" si="8"/>
        <v>50469.25999999998</v>
      </c>
      <c r="J20" s="435">
        <f t="shared" si="8"/>
        <v>262503.96999999997</v>
      </c>
      <c r="K20" s="435">
        <f t="shared" si="8"/>
        <v>249731.04</v>
      </c>
      <c r="L20" s="435">
        <f t="shared" si="8"/>
        <v>82973.34</v>
      </c>
      <c r="M20" s="435">
        <f t="shared" si="8"/>
        <v>171421.32999999996</v>
      </c>
      <c r="N20" s="436">
        <f>SUM(B20:M20)</f>
        <v>1182527.6400000001</v>
      </c>
      <c r="O20" s="23">
        <f>'FY 2005'!H15</f>
        <v>466957.34</v>
      </c>
      <c r="P20" s="23">
        <f t="shared" si="1"/>
        <v>1649484.9800000002</v>
      </c>
    </row>
    <row r="23" spans="1:16" x14ac:dyDescent="0.2">
      <c r="A23" s="7" t="s">
        <v>19</v>
      </c>
      <c r="B23" s="7"/>
      <c r="C23" s="7"/>
      <c r="D23" s="7"/>
      <c r="E23" s="7"/>
      <c r="F23" s="7"/>
      <c r="G23" s="7"/>
    </row>
  </sheetData>
  <phoneticPr fontId="0" type="noConversion"/>
  <pageMargins left="0.75" right="0.75" top="1" bottom="1" header="0.5" footer="0.5"/>
  <pageSetup scale="57" orientation="landscape" r:id="rId1"/>
  <headerFooter alignWithMargins="0">
    <oddFooter>&amp;L&amp;F&amp;CFY 06 Calculated Savings
Medicaid&amp;RPrepared by Sunny Israelson
&amp;D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workbookViewId="0">
      <selection activeCell="A4" sqref="A4"/>
    </sheetView>
  </sheetViews>
  <sheetFormatPr defaultRowHeight="12.75" x14ac:dyDescent="0.2"/>
  <cols>
    <col min="1" max="1" width="37.140625" customWidth="1"/>
    <col min="2" max="2" width="11.85546875" style="1" customWidth="1"/>
    <col min="3" max="3" width="10.7109375" customWidth="1"/>
    <col min="4" max="4" width="11" style="6" customWidth="1"/>
    <col min="5" max="5" width="10.7109375" style="6" customWidth="1"/>
    <col min="6" max="6" width="10.5703125" style="6" customWidth="1"/>
    <col min="7" max="7" width="9.5703125" style="6" customWidth="1"/>
    <col min="8" max="8" width="12.5703125" style="6" bestFit="1" customWidth="1"/>
    <col min="9" max="9" width="13.7109375" customWidth="1"/>
  </cols>
  <sheetData>
    <row r="1" spans="1:27" ht="18" x14ac:dyDescent="0.25">
      <c r="A1" s="152" t="s">
        <v>133</v>
      </c>
      <c r="B1" s="88"/>
      <c r="D1" s="88"/>
      <c r="E1"/>
      <c r="F1" s="88"/>
      <c r="G1"/>
      <c r="H1" s="96"/>
      <c r="J1" s="96"/>
      <c r="L1" s="88"/>
      <c r="N1" s="88"/>
      <c r="O1" s="26"/>
      <c r="P1" s="90"/>
      <c r="R1" s="96"/>
      <c r="S1" s="6"/>
      <c r="T1" s="88"/>
      <c r="U1" s="71"/>
      <c r="V1" s="88"/>
      <c r="W1" s="6"/>
      <c r="X1" s="88"/>
      <c r="Y1" s="6"/>
      <c r="Z1" s="88"/>
      <c r="AA1" s="6"/>
    </row>
    <row r="4" spans="1:27" x14ac:dyDescent="0.2">
      <c r="B4" s="421" t="s">
        <v>4</v>
      </c>
      <c r="C4" t="s">
        <v>5</v>
      </c>
      <c r="D4" s="226" t="s">
        <v>6</v>
      </c>
      <c r="E4" s="5" t="s">
        <v>7</v>
      </c>
      <c r="F4" s="226" t="s">
        <v>8</v>
      </c>
      <c r="G4" s="6" t="s">
        <v>9</v>
      </c>
      <c r="H4" s="273" t="s">
        <v>10</v>
      </c>
    </row>
    <row r="5" spans="1:27" x14ac:dyDescent="0.2">
      <c r="B5" s="421"/>
      <c r="D5" s="226"/>
      <c r="E5" s="5"/>
      <c r="F5" s="226"/>
      <c r="H5" s="273"/>
    </row>
    <row r="6" spans="1:27" x14ac:dyDescent="0.2">
      <c r="A6" t="s">
        <v>14</v>
      </c>
      <c r="B6" s="422">
        <v>183099.84</v>
      </c>
      <c r="C6" s="1">
        <v>133116.82</v>
      </c>
      <c r="D6" s="421">
        <v>164079</v>
      </c>
      <c r="E6" s="5">
        <v>184099.7</v>
      </c>
      <c r="F6" s="421">
        <v>191114.21</v>
      </c>
      <c r="G6" s="5">
        <v>148013.17000000001</v>
      </c>
      <c r="H6" s="345">
        <f>SUM(B6:G6)</f>
        <v>1003522.7400000001</v>
      </c>
    </row>
    <row r="7" spans="1:27" x14ac:dyDescent="0.2">
      <c r="A7" t="s">
        <v>15</v>
      </c>
      <c r="B7" s="423">
        <f>400000/12</f>
        <v>33333.333333333336</v>
      </c>
      <c r="C7" s="2">
        <f>400000/12</f>
        <v>33333.333333333336</v>
      </c>
      <c r="D7" s="423">
        <f>400000/12</f>
        <v>33333.333333333336</v>
      </c>
      <c r="E7" s="10">
        <v>33333.199999999997</v>
      </c>
      <c r="F7" s="338">
        <v>33333.199999999997</v>
      </c>
      <c r="G7" s="10">
        <v>33333.199999999997</v>
      </c>
      <c r="H7" s="347">
        <f>SUM(B7:G7)</f>
        <v>199999.60000000003</v>
      </c>
    </row>
    <row r="8" spans="1:27" x14ac:dyDescent="0.2">
      <c r="A8" t="s">
        <v>0</v>
      </c>
      <c r="B8" s="422">
        <f t="shared" ref="B8:G8" si="0">SUM(B6:B7)</f>
        <v>216433.17333333334</v>
      </c>
      <c r="C8" s="1">
        <f t="shared" si="0"/>
        <v>166450.15333333335</v>
      </c>
      <c r="D8" s="422">
        <f t="shared" si="0"/>
        <v>197412.33333333334</v>
      </c>
      <c r="E8" s="5">
        <f t="shared" si="0"/>
        <v>217432.90000000002</v>
      </c>
      <c r="F8" s="421">
        <f t="shared" si="0"/>
        <v>224447.40999999997</v>
      </c>
      <c r="G8" s="5">
        <f t="shared" si="0"/>
        <v>181346.37</v>
      </c>
      <c r="H8" s="345">
        <f>SUM(B8:G8)</f>
        <v>1203522.3399999999</v>
      </c>
      <c r="I8" s="12"/>
    </row>
    <row r="9" spans="1:27" x14ac:dyDescent="0.2">
      <c r="B9" s="422"/>
      <c r="D9" s="226"/>
      <c r="E9" s="5"/>
      <c r="F9" s="421"/>
      <c r="H9" s="273"/>
    </row>
    <row r="10" spans="1:27" x14ac:dyDescent="0.2">
      <c r="A10" t="s">
        <v>1</v>
      </c>
      <c r="B10" s="422"/>
      <c r="D10" s="226"/>
      <c r="E10" s="5"/>
      <c r="F10" s="421"/>
      <c r="H10" s="273"/>
    </row>
    <row r="11" spans="1:27" x14ac:dyDescent="0.2">
      <c r="A11" s="4" t="s">
        <v>58</v>
      </c>
      <c r="B11" s="422">
        <v>84224</v>
      </c>
      <c r="C11" s="1">
        <v>74200</v>
      </c>
      <c r="D11" s="421">
        <v>94430</v>
      </c>
      <c r="E11" s="14">
        <v>86786</v>
      </c>
      <c r="F11" s="421">
        <v>90356</v>
      </c>
      <c r="G11" s="16">
        <v>85736</v>
      </c>
      <c r="H11" s="345">
        <f>SUM(B11:G11)</f>
        <v>515732</v>
      </c>
      <c r="I11" s="11"/>
    </row>
    <row r="12" spans="1:27" x14ac:dyDescent="0.2">
      <c r="A12" s="4" t="s">
        <v>16</v>
      </c>
      <c r="B12" s="423">
        <v>66251</v>
      </c>
      <c r="C12" s="2">
        <v>58300</v>
      </c>
      <c r="D12" s="338">
        <v>74195</v>
      </c>
      <c r="E12" s="15">
        <v>10669</v>
      </c>
      <c r="F12" s="338">
        <v>5494</v>
      </c>
      <c r="G12" s="17">
        <v>5924</v>
      </c>
      <c r="H12" s="347">
        <f>SUM(B12:G12)</f>
        <v>220833</v>
      </c>
    </row>
    <row r="13" spans="1:27" x14ac:dyDescent="0.2">
      <c r="A13" t="s">
        <v>2</v>
      </c>
      <c r="B13" s="422">
        <f t="shared" ref="B13:G13" si="1">SUM(B11:B12)</f>
        <v>150475</v>
      </c>
      <c r="C13" s="1">
        <f t="shared" si="1"/>
        <v>132500</v>
      </c>
      <c r="D13" s="422">
        <f t="shared" si="1"/>
        <v>168625</v>
      </c>
      <c r="E13" s="1">
        <f t="shared" si="1"/>
        <v>97455</v>
      </c>
      <c r="F13" s="421">
        <f t="shared" si="1"/>
        <v>95850</v>
      </c>
      <c r="G13" s="16">
        <f t="shared" si="1"/>
        <v>91660</v>
      </c>
      <c r="H13" s="345">
        <f>SUM(B13:G13)</f>
        <v>736565</v>
      </c>
    </row>
    <row r="14" spans="1:27" x14ac:dyDescent="0.2">
      <c r="B14" s="422"/>
      <c r="D14" s="226"/>
      <c r="E14" s="5"/>
      <c r="F14" s="421"/>
      <c r="H14" s="273"/>
    </row>
    <row r="15" spans="1:27" s="8" customFormat="1" x14ac:dyDescent="0.2">
      <c r="A15" s="424" t="s">
        <v>3</v>
      </c>
      <c r="B15" s="425">
        <f t="shared" ref="B15:G15" si="2">B8-B13</f>
        <v>65958.17333333334</v>
      </c>
      <c r="C15" s="425">
        <f t="shared" si="2"/>
        <v>33950.15333333335</v>
      </c>
      <c r="D15" s="425">
        <f t="shared" si="2"/>
        <v>28787.333333333343</v>
      </c>
      <c r="E15" s="425">
        <f t="shared" si="2"/>
        <v>119977.90000000002</v>
      </c>
      <c r="F15" s="425">
        <f t="shared" si="2"/>
        <v>128597.40999999997</v>
      </c>
      <c r="G15" s="425">
        <f t="shared" si="2"/>
        <v>89686.37</v>
      </c>
      <c r="H15" s="426">
        <f>SUM(B15:G15)</f>
        <v>466957.34</v>
      </c>
      <c r="I15" s="13"/>
    </row>
    <row r="16" spans="1:27" x14ac:dyDescent="0.2">
      <c r="H16" s="273"/>
    </row>
    <row r="17" spans="1:8" x14ac:dyDescent="0.2">
      <c r="A17" t="s">
        <v>17</v>
      </c>
      <c r="H17" s="427">
        <v>307500</v>
      </c>
    </row>
    <row r="18" spans="1:8" x14ac:dyDescent="0.2">
      <c r="H18" s="273"/>
    </row>
    <row r="19" spans="1:8" x14ac:dyDescent="0.2">
      <c r="A19" t="s">
        <v>18</v>
      </c>
      <c r="B19" s="3"/>
      <c r="H19" s="428">
        <f>(H15-H17)/H17</f>
        <v>0.51856045528455297</v>
      </c>
    </row>
    <row r="23" spans="1:8" x14ac:dyDescent="0.2">
      <c r="A23" s="7" t="s">
        <v>11</v>
      </c>
    </row>
    <row r="24" spans="1:8" x14ac:dyDescent="0.2">
      <c r="A24" s="7" t="s">
        <v>12</v>
      </c>
    </row>
  </sheetData>
  <phoneticPr fontId="0" type="noConversion"/>
  <pageMargins left="0.75" right="0.75" top="1" bottom="1" header="0.5" footer="0.5"/>
  <pageSetup orientation="landscape" r:id="rId1"/>
  <headerFooter alignWithMargins="0">
    <oddFooter xml:space="preserve">&amp;L&amp;F&amp;CFY 05 Calculated Savings
Medicaid
&amp;RPrepared by Kim Garnero
&amp;D
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Cost Report Codes</vt:lpstr>
      <vt:lpstr>FY 2012</vt:lpstr>
      <vt:lpstr>FY 2011</vt:lpstr>
      <vt:lpstr>FY 2010</vt:lpstr>
      <vt:lpstr>FY 2009</vt:lpstr>
      <vt:lpstr>FY 2008</vt:lpstr>
      <vt:lpstr>FY 2007</vt:lpstr>
      <vt:lpstr>FY 2006</vt:lpstr>
      <vt:lpstr>FY 2005</vt:lpstr>
      <vt:lpstr>'FY 2007'!Print_Area</vt:lpstr>
      <vt:lpstr>'FY 2008'!Print_Area</vt:lpstr>
      <vt:lpstr>'FY 2009'!Print_Area</vt:lpstr>
      <vt:lpstr>'FY 2010'!Print_Area</vt:lpstr>
      <vt:lpstr>'FY 2011'!Print_Area</vt:lpstr>
      <vt:lpstr>'FY 2012'!Print_Area</vt:lpstr>
    </vt:vector>
  </TitlesOfParts>
  <Company>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Calculated Savings for Medicaid Travel Office (MTO) FY12</dc:title>
  <dc:creator>State Travel Manager;Div of Finance;Dept of Administration;State of Alaska</dc:creator>
  <cp:lastModifiedBy>jafultz</cp:lastModifiedBy>
  <cp:lastPrinted>2012-07-30T18:45:14Z</cp:lastPrinted>
  <dcterms:created xsi:type="dcterms:W3CDTF">2005-02-17T21:39:35Z</dcterms:created>
  <dcterms:modified xsi:type="dcterms:W3CDTF">2012-08-07T18:07:08Z</dcterms:modified>
</cp:coreProperties>
</file>